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Hotel Standards" sheetId="2" state="visible" r:id="rId4"/>
    <sheet name="Assumptions" sheetId="3" state="visible" r:id="rId5"/>
    <sheet name="Rooms" sheetId="4" state="visible" r:id="rId6"/>
    <sheet name="F&amp;B" sheetId="5" state="visible" r:id="rId7"/>
    <sheet name="Pools &amp; Spa" sheetId="6" state="visible" r:id="rId8"/>
    <sheet name="Common Area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7" authorId="0">
      <text>
        <r>
          <rPr>
            <sz val="10"/>
            <rFont val="Arial"/>
            <family val="2"/>
          </rPr>
          <t xml:space="preserve">Phase order from the 04/08/26 summary: casa club first, then spa zone, then the two 4* hotels. Keys per hotel from casatosalet.com (14/18/12/12). Change the phase number to move a whole building.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Pool locations not confirmed on the plans: change the phase if the family pool belongs to the lodges.</t>
        </r>
      </text>
    </comment>
    <comment ref="B11" authorId="0">
      <text>
        <r>
          <rPr>
            <sz val="10"/>
            <rFont val="Arial"/>
            <family val="2"/>
          </rPr>
          <t xml:space="preserve">Assumption: ~50% of the spa's 30 simultaneous users.</t>
        </r>
      </text>
    </comment>
    <comment ref="B12" authorId="0">
      <text>
        <r>
          <rPr>
            <sz val="10"/>
            <rFont val="Arial"/>
            <family val="2"/>
          </rPr>
          <t xml:space="preserve">CLARIFICATION: number of treatment rooms not defined (requested 04/08/26).</t>
        </r>
      </text>
    </comment>
  </commentList>
</comments>
</file>

<file path=xl/sharedStrings.xml><?xml version="1.0" encoding="utf-8"?>
<sst xmlns="http://schemas.openxmlformats.org/spreadsheetml/2006/main" count="587" uniqueCount="404">
  <si>
    <t xml:space="preserve">CASA TOSALET · FF&amp;E quantity forecast by phase</t>
  </si>
  <si>
    <t xml:space="preserve">Order of magnitude on a non-final project. One phase per licence/building (order from 04/08/26 summary). Max = total + margin for tiered pricing. Change phases in Assumptions (col. E).</t>
  </si>
  <si>
    <t xml:space="preserve">Indicator</t>
  </si>
  <si>
    <t xml:space="preserve">Phase 1 · Casa Club</t>
  </si>
  <si>
    <t xml:space="preserve">Phase 2 · Spa / Wellness</t>
  </si>
  <si>
    <t xml:space="preserve">Phase 3 · Lodges A</t>
  </si>
  <si>
    <t xml:space="preserve">Phase 4 · Lodges B</t>
  </si>
  <si>
    <t xml:space="preserve">Total</t>
  </si>
  <si>
    <t xml:space="preserve">Max to negotiate</t>
  </si>
  <si>
    <t xml:space="preserve">Keys (rooms / lodges)</t>
  </si>
  <si>
    <t xml:space="preserve">—</t>
  </si>
  <si>
    <t xml:space="preserve">Bedrooms</t>
  </si>
  <si>
    <t xml:space="preserve">Lounges (doubles with lounge + suites)</t>
  </si>
  <si>
    <t xml:space="preserve">Accessible rooms (CTE DB-SUA)</t>
  </si>
  <si>
    <t xml:space="preserve">F&amp;B covers (indoor + terrace)</t>
  </si>
  <si>
    <t xml:space="preserve">Group</t>
  </si>
  <si>
    <t xml:space="preserve">Beds (90×200 bases)</t>
  </si>
  <si>
    <t xml:space="preserve">Mattresses</t>
  </si>
  <si>
    <t xml:space="preserve">Accessible-room kits</t>
  </si>
  <si>
    <t xml:space="preserve">Headboards</t>
  </si>
  <si>
    <t xml:space="preserve">Bedside tables</t>
  </si>
  <si>
    <t xml:space="preserve">Desks</t>
  </si>
  <si>
    <t xml:space="preserve">Desk &amp; operator chairs</t>
  </si>
  <si>
    <t xml:space="preserve">Wardrobes</t>
  </si>
  <si>
    <t xml:space="preserve">Room lamps</t>
  </si>
  <si>
    <t xml:space="preserve">F&amp;B lamps</t>
  </si>
  <si>
    <t xml:space="preserve">Common-area lamps</t>
  </si>
  <si>
    <t xml:space="preserve">Indoor dining chairs</t>
  </si>
  <si>
    <t xml:space="preserve">Terrace / outdoor chairs</t>
  </si>
  <si>
    <t xml:space="preserve">Common-area chairs</t>
  </si>
  <si>
    <t xml:space="preserve">Dining tables</t>
  </si>
  <si>
    <t xml:space="preserve">Outdoor tables</t>
  </si>
  <si>
    <t xml:space="preserve">Common-area tables</t>
  </si>
  <si>
    <t xml:space="preserve">Bar stools</t>
  </si>
  <si>
    <t xml:space="preserve">Armchairs &amp; lounge seating</t>
  </si>
  <si>
    <t xml:space="preserve">Sofas</t>
  </si>
  <si>
    <t xml:space="preserve">Side &amp; coffee tables</t>
  </si>
  <si>
    <t xml:space="preserve">Rugs</t>
  </si>
  <si>
    <t xml:space="preserve">Curtains (set per opening)</t>
  </si>
  <si>
    <t xml:space="preserve">Sunbeds &amp; loungers</t>
  </si>
  <si>
    <t xml:space="preserve">Daybeds</t>
  </si>
  <si>
    <t xml:space="preserve">Parasols</t>
  </si>
  <si>
    <t xml:space="preserve">Reception desks</t>
  </si>
  <si>
    <t xml:space="preserve">Benches / luggage racks</t>
  </si>
  <si>
    <t xml:space="preserve">Mirrors</t>
  </si>
  <si>
    <t xml:space="preserve">Storage furniture</t>
  </si>
  <si>
    <t xml:space="preserve">In-room equipment</t>
  </si>
  <si>
    <t xml:space="preserve">Bathroom equipment</t>
  </si>
  <si>
    <t xml:space="preserve">Pool equipment</t>
  </si>
  <si>
    <t xml:space="preserve">Spa equipment</t>
  </si>
  <si>
    <t xml:space="preserve">High chairs</t>
  </si>
  <si>
    <t xml:space="preserve">Room textiles</t>
  </si>
  <si>
    <t xml:space="preserve">Bath textiles</t>
  </si>
  <si>
    <t xml:space="preserve">Total lamps (rooms + F&amp;B + common areas)</t>
  </si>
  <si>
    <t xml:space="preserve">Total chairs (dining + terrace + common + desk)</t>
  </si>
  <si>
    <t xml:space="preserve">Hotel-grade (contract) requirements to include in every supplier request</t>
  </si>
  <si>
    <t xml:space="preserve">Research 18/10/2026. Legal status checked where a source was found; other lines are standard contract-furniture practice. Confirm with the architect, Turisme and the insurer before tendering.</t>
  </si>
  <si>
    <t xml:space="preserve">Topic</t>
  </si>
  <si>
    <t xml:space="preserve">Requirement / spec to request</t>
  </si>
  <si>
    <t xml:space="preserve">Applies to</t>
  </si>
  <si>
    <t xml:space="preserve">Legal status in Jávea (Comunitat Valenciana)</t>
  </si>
  <si>
    <t xml:space="preserve">Source</t>
  </si>
  <si>
    <t xml:space="preserve">Height-adjustable beds</t>
  </si>
  <si>
    <t xml:space="preserve">Liftable bed bases (mechanical or electric) so housekeeping can work without bending; excludes extra/sofa beds in the Canarias law.</t>
  </si>
  <si>
    <t xml:space="preserve">All hotel beds</t>
  </si>
  <si>
    <t xml:space="preserve">NOT found as mandatory in the Comunitat Valenciana or at national level (checked 18/10/2026). Mandatory in Canarias (Ley 1/2026: 4–5* hotels 25% by 2027, 45% 2029, 75% 2031, 100% 2033); Baleares tourism law also requires it. Recommended anyway: likely to spread and a 2028 opening should not need retrofitting.</t>
  </si>
  <si>
    <t xml:space="preserve">BOE-A-2026-17187 (Ley 1/2026 Canarias); idealista / mallorcadiario on Baleares</t>
  </si>
  <si>
    <t xml:space="preserve">Upholstered seating — fire</t>
  </si>
  <si>
    <t xml:space="preserve">Certificates UNE-EN 1021-1 (cigarette) and UNE-EN 1021-2 (match) for fabric + foam combination.</t>
  </si>
  <si>
    <t xml:space="preserve">Restaurant, bar, lounge, library, multipurpose room seats; request for rooms too</t>
  </si>
  <si>
    <t xml:space="preserve">Cited in CTE DB-SI, Section SI 1, para. 4 (upholstered fixed seats in assembly-type spaces). Request for all upholstery as contract standard.</t>
  </si>
  <si>
    <t xml:space="preserve">CTE DB-SI Anejo G; SI 1 §4</t>
  </si>
  <si>
    <t xml:space="preserve">Curtains and suspended textiles — fire</t>
  </si>
  <si>
    <t xml:space="preserve">UNE-EN 13773 Class 1 (flame-retardant, inherently FR fabric preferred over treated fabric so it survives washing).</t>
  </si>
  <si>
    <t xml:space="preserve">Public areas; request for rooms too</t>
  </si>
  <si>
    <t xml:space="preserve">UNE-EN 13773 is cited in CTE DB-SI SI 1 §4 for suspended textiles in public-use areas.</t>
  </si>
  <si>
    <t xml:space="preserve">CTE DB-SI Anejo G</t>
  </si>
  <si>
    <t xml:space="preserve">Mattresses — fire</t>
  </si>
  <si>
    <t xml:space="preserve">EN 597-1 / EN 597-2 (cigarette / match) contract mattresses; removable washable covers and protectors.</t>
  </si>
  <si>
    <t xml:space="preserve">All beds</t>
  </si>
  <si>
    <t xml:space="preserve">Contract standard; confirm with insurer/operator.</t>
  </si>
  <si>
    <t xml:space="preserve">Industry practice (contract mattresses)</t>
  </si>
  <si>
    <t xml:space="preserve">Accessible rooms</t>
  </si>
  <si>
    <t xml:space="preserve">1 accessible unit per establishment of 5–50 units: adapted bed height and clear space, wardrobe, desk, bathroom.</t>
  </si>
  <si>
    <t xml:space="preserve">4 rooms total (1 per licence)</t>
  </si>
  <si>
    <t xml:space="preserve">Mandatory: CTE DB-SUA 9, Table 1.1.</t>
  </si>
  <si>
    <t xml:space="preserve">CTE DB-SUA Section SUA 9</t>
  </si>
  <si>
    <t xml:space="preserve">Durability — contract grade</t>
  </si>
  <si>
    <t xml:space="preserve">Seating tested for non-domestic use (EN 16139), tables for non-domestic use (EN 15372); reinforced joints, replaceable parts, spare-part availability ≥ 5 years.</t>
  </si>
  <si>
    <t xml:space="preserve">All loose furniture</t>
  </si>
  <si>
    <t xml:space="preserve">Not a legal obligation; essential for hotel wear (domestic furniture fails fast).</t>
  </si>
  <si>
    <t xml:space="preserve">Contract practice</t>
  </si>
  <si>
    <t xml:space="preserve">Humidity and sea air</t>
  </si>
  <si>
    <t xml:space="preserve">Moisture-stable woods, stainless/marine-grade fittings, UV-stable outdoor fabrics and solution-dyed acrylics; spa furniture rated for high humidity.</t>
  </si>
  <si>
    <t xml:space="preserve">Outdoor, pool, spa furniture</t>
  </si>
  <si>
    <t xml:space="preserve">Humidity named as a central design constraint (technical meeting 25/09/26).</t>
  </si>
  <si>
    <t xml:space="preserve">#tosalet-comite-operativo 01/10/26</t>
  </si>
  <si>
    <t xml:space="preserve">Hygiene and maintenance</t>
  </si>
  <si>
    <t xml:space="preserve">Removable, washable covers; stain-resistant finishes; easy-clean leg/floor clearance for housekeeping; no fragile decorative parts in rooms.</t>
  </si>
  <si>
    <t xml:space="preserve">Rooms, F&amp;B</t>
  </si>
  <si>
    <t xml:space="preserve">Operational standard.</t>
  </si>
  <si>
    <t xml:space="preserve">5* classification (Decreto 10/2021)</t>
  </si>
  <si>
    <t xml:space="preserve">Hotels are classified by a self-assessment questionnaire (5* = 650 points, Gran Lujo = 800). Room items count towards points: get the questionnaire Reyes already used (04/08/26) to check bed sizes and mandatory room equipment before ordering.</t>
  </si>
  <si>
    <t xml:space="preserve">Hotels 1–2 (5*), 3–4 (4*)</t>
  </si>
  <si>
    <t xml:space="preserve">Mandatory classification system; detailed room items not verified here.</t>
  </si>
  <si>
    <t xml:space="preserve">turismecv.com webinar Decreto 10/2021</t>
  </si>
  <si>
    <t xml:space="preserve">CASA TOSALET · FF&amp;E Quantity Forecast — Base Assumptions</t>
  </si>
  <si>
    <t xml:space="preserve">Working version 18/10/2026 · project not yet final · indicative quantities to open supplier negotiations</t>
  </si>
  <si>
    <t xml:space="preserve">Legend: BLUE text on yellow = editable assumptions (the whole file recalculates) · black = formulas · green = links to other sheets</t>
  </si>
  <si>
    <t xml:space="preserve">Accommodation unit</t>
  </si>
  <si>
    <t xml:space="preserve">Building / use</t>
  </si>
  <si>
    <t xml:space="preserve">Category</t>
  </si>
  <si>
    <t xml:space="preserve">Keys</t>
  </si>
  <si>
    <t xml:space="preserve">Phase (1–4)</t>
  </si>
  <si>
    <t xml:space="preserve">Indicative timing</t>
  </si>
  <si>
    <t xml:space="preserve">Suites</t>
  </si>
  <si>
    <t xml:space="preserve">Doubles with lounge</t>
  </si>
  <si>
    <t xml:space="preserve">Doubles</t>
  </si>
  <si>
    <t xml:space="preserve">Lounges</t>
  </si>
  <si>
    <t xml:space="preserve">Bathrooms</t>
  </si>
  <si>
    <t xml:space="preserve">Lodge (1/0)</t>
  </si>
  <si>
    <t xml:space="preserve">Hotel 1 · Casa Club</t>
  </si>
  <si>
    <t xml:space="preserve">Main building: reception, members' restaurant, bar, bakery-café, library, privé, rooms</t>
  </si>
  <si>
    <t xml:space="preserve">5*</t>
  </si>
  <si>
    <t xml:space="preserve">First licence · opening target 2028 (TBC)</t>
  </si>
  <si>
    <t xml:space="preserve">Hotel 2 · Spa / Wellness</t>
  </si>
  <si>
    <t xml:space="preserve">Spa, gym, heated pool, wellness restaurant &amp; bar, rooms</t>
  </si>
  <si>
    <t xml:space="preserve">Spa by phases; hotel licence requested later (TBC)</t>
  </si>
  <si>
    <t xml:space="preserve">Hotel 3 · Lodges A (4*)</t>
  </si>
  <si>
    <t xml:space="preserve">Glass-cube reception, healthy bar, lodges, multipurpose room</t>
  </si>
  <si>
    <t xml:space="preserve">4*</t>
  </si>
  <si>
    <t xml:space="preserve">TBC</t>
  </si>
  <si>
    <t xml:space="preserve">Hotel 4 · Lodges B (4*)</t>
  </si>
  <si>
    <t xml:space="preserve">Lodges, F&amp;B outlet, own reception</t>
  </si>
  <si>
    <t xml:space="preserve">Parameters</t>
  </si>
  <si>
    <t xml:space="preserve">% doubles with lounge</t>
  </si>
  <si>
    <t xml:space="preserve">Assumption. Room types per hotel requested from Nacho (04/08/26); not yet received.</t>
  </si>
  <si>
    <t xml:space="preserve">% suites</t>
  </si>
  <si>
    <t xml:space="preserve">Assumption. Suite mandatory in 5* (min. 1 per 5* hotel, forced in the formula).</t>
  </si>
  <si>
    <t xml:space="preserve">Bedrooms per suite</t>
  </si>
  <si>
    <t xml:space="preserve">Suite = 2 bedrooms with bathroom + lounge.</t>
  </si>
  <si>
    <t xml:space="preserve">Windows / openings per key (curtains)</t>
  </si>
  <si>
    <t xml:space="preserve">Assumption, to be checked on the plans.</t>
  </si>
  <si>
    <t xml:space="preserve">Negotiation margin (max quantity)</t>
  </si>
  <si>
    <t xml:space="preserve">To request tiered min–max pricing from suppliers.</t>
  </si>
  <si>
    <t xml:space="preserve">Covers per table (average)</t>
  </si>
  <si>
    <t xml:space="preserve">Mix of 2- and 4-seat tables.</t>
  </si>
  <si>
    <t xml:space="preserve">Calculation drivers per phase (used by the detail sheets)</t>
  </si>
  <si>
    <t xml:space="preserve">Driver</t>
  </si>
  <si>
    <t xml:space="preserve">Phase 1</t>
  </si>
  <si>
    <t xml:space="preserve">Phase 2</t>
  </si>
  <si>
    <t xml:space="preserve">Phase 3</t>
  </si>
  <si>
    <t xml:space="preserve">Phase 4</t>
  </si>
  <si>
    <t xml:space="preserve">key</t>
  </si>
  <si>
    <t xml:space="preserve">bedroom</t>
  </si>
  <si>
    <t xml:space="preserve">lounge</t>
  </si>
  <si>
    <t xml:space="preserve">bathroom</t>
  </si>
  <si>
    <t xml:space="preserve">terrace</t>
  </si>
  <si>
    <t xml:space="preserve">window</t>
  </si>
  <si>
    <t xml:space="preserve">lodge</t>
  </si>
  <si>
    <t xml:space="preserve">hotel</t>
  </si>
  <si>
    <t xml:space="preserve">Rooms and lodges — FF&amp;E kit per unit, by phase</t>
  </si>
  <si>
    <t xml:space="preserve">Quantity = qty per unit × driver per phase from Assumptions. Wardrobes and headboards may be bespoke joinery: check against the construction specification.</t>
  </si>
  <si>
    <t xml:space="preserve">Item (EN)</t>
  </si>
  <si>
    <t xml:space="preserve">Denominación (ES) — for suppliers</t>
  </si>
  <si>
    <t xml:space="preserve">Summary group</t>
  </si>
  <si>
    <t xml:space="preserve">Notes / to confirm</t>
  </si>
  <si>
    <t xml:space="preserve">Qty / unit</t>
  </si>
  <si>
    <t xml:space="preserve">Height-adjustable (liftable) bed base 90×200 zip&amp;link</t>
  </si>
  <si>
    <t xml:space="preserve">Somier/base elevable 90×200 unible (zip &amp; link)</t>
  </si>
  <si>
    <t xml:space="preserve">2 bases = 1 king, splits into twin. Liftable (mechanical or electric) for housekeeping ergonomics — mandatory in Canarias (Ley 1/2026); see Hotel Standards sheet.</t>
  </si>
  <si>
    <t xml:space="preserve">Accessible-room furniture kit (bed, wardrobe, desk adapted)</t>
  </si>
  <si>
    <t xml:space="preserve">Kit mobiliario habitación accesible</t>
  </si>
  <si>
    <t xml:space="preserve">CTE DB-SUA: 1 accessible unit per establishment of 5–50 units; 4 independent licences → 1 per hotel. Layout and heights to be fixed with the architect.</t>
  </si>
  <si>
    <t xml:space="preserve">Mattress 90×200 zip&amp;link</t>
  </si>
  <si>
    <t xml:space="preserve">Colchón 90×200 unible</t>
  </si>
  <si>
    <t xml:space="preserve">Deep-sleep quality (MAVI / Passive House line).</t>
  </si>
  <si>
    <t xml:space="preserve">Topper king 180×200</t>
  </si>
  <si>
    <t xml:space="preserve">Topper 180×200</t>
  </si>
  <si>
    <t xml:space="preserve">King headboard</t>
  </si>
  <si>
    <t xml:space="preserve">Cabecero 180</t>
  </si>
  <si>
    <t xml:space="preserve">Possibly bespoke joinery.</t>
  </si>
  <si>
    <t xml:space="preserve">Bedside table</t>
  </si>
  <si>
    <t xml:space="preserve">Mesita de noche</t>
  </si>
  <si>
    <t xml:space="preserve">Bedside lamp / reading wall light</t>
  </si>
  <si>
    <t xml:space="preserve">Lámpara de mesita / aplique de lectura</t>
  </si>
  <si>
    <t xml:space="preserve">Warm amber light, no blue (luz brasa concept).</t>
  </si>
  <si>
    <t xml:space="preserve">Bed-end bench</t>
  </si>
  <si>
    <t xml:space="preserve">Banqueta pie de cama</t>
  </si>
  <si>
    <t xml:space="preserve">Bedroom armchair</t>
  </si>
  <si>
    <t xml:space="preserve">Butaca dormitorio</t>
  </si>
  <si>
    <t xml:space="preserve">Pouf / ottoman</t>
  </si>
  <si>
    <t xml:space="preserve">Puf / otomana</t>
  </si>
  <si>
    <t xml:space="preserve">Bedroom rug</t>
  </si>
  <si>
    <t xml:space="preserve">Alfombra dormitorio</t>
  </si>
  <si>
    <t xml:space="preserve">Wardrobe (if not bespoke)</t>
  </si>
  <si>
    <t xml:space="preserve">Armario (si no es a medida)</t>
  </si>
  <si>
    <t xml:space="preserve">CLARIFICATION: likely joinery within construction scope.</t>
  </si>
  <si>
    <t xml:space="preserve">Desk / writing table</t>
  </si>
  <si>
    <t xml:space="preserve">Escritorio</t>
  </si>
  <si>
    <t xml:space="preserve">Desk chair</t>
  </si>
  <si>
    <t xml:space="preserve">Silla de escritorio</t>
  </si>
  <si>
    <t xml:space="preserve">Desk lamp</t>
  </si>
  <si>
    <t xml:space="preserve">Lámpara de escritorio</t>
  </si>
  <si>
    <t xml:space="preserve">Bedroom floor lamp</t>
  </si>
  <si>
    <t xml:space="preserve">Lámpara de pie dormitorio</t>
  </si>
  <si>
    <t xml:space="preserve">Decorative pendant / lamp</t>
  </si>
  <si>
    <t xml:space="preserve">Lámpara colgante decorativa</t>
  </si>
  <si>
    <t xml:space="preserve">Technical lighting is part of the architectural project, not FF&amp;E.</t>
  </si>
  <si>
    <t xml:space="preserve">Side table</t>
  </si>
  <si>
    <t xml:space="preserve">Mesa auxiliar</t>
  </si>
  <si>
    <t xml:space="preserve">Full-length mirror</t>
  </si>
  <si>
    <t xml:space="preserve">Espejo de cuerpo entero</t>
  </si>
  <si>
    <t xml:space="preserve">Luggage rack</t>
  </si>
  <si>
    <t xml:space="preserve">Portamaletas</t>
  </si>
  <si>
    <t xml:space="preserve">Minibar</t>
  </si>
  <si>
    <t xml:space="preserve">Safe</t>
  </si>
  <si>
    <t xml:space="preserve">Caja fuerte</t>
  </si>
  <si>
    <t xml:space="preserve">Valet stand / coat rack</t>
  </si>
  <si>
    <t xml:space="preserve">Galán de noche / perchero</t>
  </si>
  <si>
    <t xml:space="preserve">Curtain + blackout (set per opening)</t>
  </si>
  <si>
    <t xml:space="preserve">Cortina + blackout (juego por hueco)</t>
  </si>
  <si>
    <t xml:space="preserve">Openings to be taken from plans: assumed 3 per key.</t>
  </si>
  <si>
    <t xml:space="preserve">Lounge sofa (sofa bed)</t>
  </si>
  <si>
    <t xml:space="preserve">Sofá (sofá cama) salón</t>
  </si>
  <si>
    <t xml:space="preserve">Only doubles with lounge and suites.</t>
  </si>
  <si>
    <t xml:space="preserve">Lounge coffee table</t>
  </si>
  <si>
    <t xml:space="preserve">Mesa de centro salón</t>
  </si>
  <si>
    <t xml:space="preserve">Lounge armchair</t>
  </si>
  <si>
    <t xml:space="preserve">Butaca salón</t>
  </si>
  <si>
    <t xml:space="preserve">Lounge floor lamp</t>
  </si>
  <si>
    <t xml:space="preserve">Lámpara de pie salón</t>
  </si>
  <si>
    <t xml:space="preserve">Lounge rug</t>
  </si>
  <si>
    <t xml:space="preserve">Alfombra salón</t>
  </si>
  <si>
    <t xml:space="preserve">Lounge console / TV unit</t>
  </si>
  <si>
    <t xml:space="preserve">Consola / mueble salón</t>
  </si>
  <si>
    <t xml:space="preserve">CLARIFICATION: TV yes/no (silence doctrine).</t>
  </si>
  <si>
    <t xml:space="preserve">Terrace outdoor chair</t>
  </si>
  <si>
    <t xml:space="preserve">Silla exterior terraza</t>
  </si>
  <si>
    <t xml:space="preserve">Terrace outdoor table</t>
  </si>
  <si>
    <t xml:space="preserve">Mesa exterior terraza</t>
  </si>
  <si>
    <t xml:space="preserve">Bathroom accessories (set)</t>
  </si>
  <si>
    <t xml:space="preserve">Accesorios de baño (juego)</t>
  </si>
  <si>
    <t xml:space="preserve">Check whether included in the construction specification.</t>
  </si>
  <si>
    <t xml:space="preserve">King sheet set (par 3)</t>
  </si>
  <si>
    <t xml:space="preserve">Juego sábanas king (par 3)</t>
  </si>
  <si>
    <t xml:space="preserve">OS&amp;E: 3 changes par level.</t>
  </si>
  <si>
    <t xml:space="preserve">King duvet</t>
  </si>
  <si>
    <t xml:space="preserve">Edredón nórdico king</t>
  </si>
  <si>
    <t xml:space="preserve">Bed pillows</t>
  </si>
  <si>
    <t xml:space="preserve">Almohadas</t>
  </si>
  <si>
    <t xml:space="preserve">Towel set (par 3)</t>
  </si>
  <si>
    <t xml:space="preserve">Juego toallas (par 3)</t>
  </si>
  <si>
    <t xml:space="preserve">Bathrobe</t>
  </si>
  <si>
    <t xml:space="preserve">Albornoz</t>
  </si>
  <si>
    <t xml:space="preserve">2 guests × 2 changes.</t>
  </si>
  <si>
    <t xml:space="preserve">F&amp;B outlets — covers and furniture, by phase</t>
  </si>
  <si>
    <t xml:space="preserve">Covers NOT yet defined by the architect (requested 04/08/26). Blue values = assumptions; each hotel needs its own F&amp;B point (meeting 12/08/26).</t>
  </si>
  <si>
    <t xml:space="preserve">Outlet</t>
  </si>
  <si>
    <t xml:space="preserve">Building</t>
  </si>
  <si>
    <t xml:space="preserve">Indoor covers</t>
  </si>
  <si>
    <t xml:space="preserve">Terrace covers</t>
  </si>
  <si>
    <t xml:space="preserve">Lounge seats</t>
  </si>
  <si>
    <t xml:space="preserve">Indoor tables</t>
  </si>
  <si>
    <t xml:space="preserve">Terrace tables</t>
  </si>
  <si>
    <t xml:space="preserve">Table lamps (rechargeable)</t>
  </si>
  <si>
    <t xml:space="preserve">Dining pendants</t>
  </si>
  <si>
    <t xml:space="preserve">Lounge floor lamps</t>
  </si>
  <si>
    <t xml:space="preserve">Lounge side tables</t>
  </si>
  <si>
    <t xml:space="preserve">Children's high chairs</t>
  </si>
  <si>
    <t xml:space="preserve">Members' restaurant</t>
  </si>
  <si>
    <t xml:space="preserve">Casa Club</t>
  </si>
  <si>
    <t xml:space="preserve">Bar &amp; lounge</t>
  </si>
  <si>
    <t xml:space="preserve">Bakery &amp; café (open to the neighbourhood)</t>
  </si>
  <si>
    <t xml:space="preserve">Wellness restaurant</t>
  </si>
  <si>
    <t xml:space="preserve">Spa / Wellness</t>
  </si>
  <si>
    <t xml:space="preserve">Wellness bar</t>
  </si>
  <si>
    <t xml:space="preserve">Healthy bar</t>
  </si>
  <si>
    <t xml:space="preserve">Lodges A</t>
  </si>
  <si>
    <t xml:space="preserve">Lodges F&amp;B outlet</t>
  </si>
  <si>
    <t xml:space="preserve">Lodges B</t>
  </si>
  <si>
    <t xml:space="preserve">Source column</t>
  </si>
  <si>
    <t xml:space="preserve">Indoor dining chair</t>
  </si>
  <si>
    <t xml:space="preserve">Silla comedor interior</t>
  </si>
  <si>
    <t xml:space="preserve">D</t>
  </si>
  <si>
    <t xml:space="preserve">Terrace chair / armchair</t>
  </si>
  <si>
    <t xml:space="preserve">Silla / butaca terraza</t>
  </si>
  <si>
    <t xml:space="preserve">Outdoor-grade material.</t>
  </si>
  <si>
    <t xml:space="preserve">E</t>
  </si>
  <si>
    <t xml:space="preserve">Bar stool</t>
  </si>
  <si>
    <t xml:space="preserve">Taburete de barra</t>
  </si>
  <si>
    <t xml:space="preserve">F</t>
  </si>
  <si>
    <t xml:space="preserve">Lounge armchair / sofa (seats)</t>
  </si>
  <si>
    <t xml:space="preserve">Butaca / sofá lounge (plazas)</t>
  </si>
  <si>
    <t xml:space="preserve">Counted in seats.</t>
  </si>
  <si>
    <t xml:space="preserve">G</t>
  </si>
  <si>
    <t xml:space="preserve">Indoor dining table</t>
  </si>
  <si>
    <t xml:space="preserve">Mesa comedor interior</t>
  </si>
  <si>
    <t xml:space="preserve">Mix of 2 and 4 seats.</t>
  </si>
  <si>
    <t xml:space="preserve">H</t>
  </si>
  <si>
    <t xml:space="preserve">Terrace table</t>
  </si>
  <si>
    <t xml:space="preserve">Mesa terraza</t>
  </si>
  <si>
    <t xml:space="preserve">I</t>
  </si>
  <si>
    <t xml:space="preserve">Rechargeable table lamp</t>
  </si>
  <si>
    <t xml:space="preserve">Lámpara de mesa recargable</t>
  </si>
  <si>
    <t xml:space="preserve">1 per table, indoor + terrace.</t>
  </si>
  <si>
    <t xml:space="preserve">J</t>
  </si>
  <si>
    <t xml:space="preserve">Decorative dining pendant</t>
  </si>
  <si>
    <t xml:space="preserve">Lámpara colgante sala</t>
  </si>
  <si>
    <t xml:space="preserve">1 every 2 indoor tables.</t>
  </si>
  <si>
    <t xml:space="preserve">K</t>
  </si>
  <si>
    <t xml:space="preserve">Lámpara de pie lounge</t>
  </si>
  <si>
    <t xml:space="preserve">L</t>
  </si>
  <si>
    <t xml:space="preserve">Lounge side table</t>
  </si>
  <si>
    <t xml:space="preserve">Mesa auxiliar lounge</t>
  </si>
  <si>
    <t xml:space="preserve">M</t>
  </si>
  <si>
    <t xml:space="preserve">Children's high chair</t>
  </si>
  <si>
    <t xml:space="preserve">Trona infantil</t>
  </si>
  <si>
    <t xml:space="preserve">N</t>
  </si>
  <si>
    <t xml:space="preserve">Pools, sun decks and spa — by phase</t>
  </si>
  <si>
    <t xml:space="preserve">Website: three pools planned, one heated · 2,000 m² spa · ~30 simultaneous users (report 24/02/26). Sunbed numbers not yet defined by the architect.</t>
  </si>
  <si>
    <t xml:space="preserve">Area</t>
  </si>
  <si>
    <t xml:space="preserve">Sunbeds</t>
  </si>
  <si>
    <t xml:space="preserve">Parasols (1 per 2 sunbeds)</t>
  </si>
  <si>
    <t xml:space="preserve">Side tables (1 per 2 sunbeds)</t>
  </si>
  <si>
    <t xml:space="preserve">Towel stations</t>
  </si>
  <si>
    <t xml:space="preserve">Main pool (swimming lane)</t>
  </si>
  <si>
    <t xml:space="preserve">Family pool</t>
  </si>
  <si>
    <t xml:space="preserve">Heated pool (wellness)</t>
  </si>
  <si>
    <t xml:space="preserve">Spa &amp; lodges</t>
  </si>
  <si>
    <t xml:space="preserve">Qty</t>
  </si>
  <si>
    <t xml:space="preserve">Sunbeds per lodge (private terrace)</t>
  </si>
  <si>
    <t xml:space="preserve">per lodge</t>
  </si>
  <si>
    <t xml:space="preserve">Spa relaxation loungers</t>
  </si>
  <si>
    <t xml:space="preserve">Treatment rooms</t>
  </si>
  <si>
    <t xml:space="preserve">Pool sunbed</t>
  </si>
  <si>
    <t xml:space="preserve">Tumbona piscina</t>
  </si>
  <si>
    <t xml:space="preserve">Lodge terrace sunbed</t>
  </si>
  <si>
    <t xml:space="preserve">Tumbona terraza lodge</t>
  </si>
  <si>
    <t xml:space="preserve">2 per lodge.</t>
  </si>
  <si>
    <t xml:space="preserve">Pool daybed</t>
  </si>
  <si>
    <t xml:space="preserve">Daybed / cama balinesa</t>
  </si>
  <si>
    <t xml:space="preserve">Parasol</t>
  </si>
  <si>
    <t xml:space="preserve">Sombrilla</t>
  </si>
  <si>
    <t xml:space="preserve">Not for the indoor pool.</t>
  </si>
  <si>
    <t xml:space="preserve">Pool side table</t>
  </si>
  <si>
    <t xml:space="preserve">Mesa auxiliar piscina</t>
  </si>
  <si>
    <t xml:space="preserve">Towel station</t>
  </si>
  <si>
    <t xml:space="preserve">Estación de toallas</t>
  </si>
  <si>
    <t xml:space="preserve">Spa relaxation lounger</t>
  </si>
  <si>
    <t xml:space="preserve">Tumbona relax spa</t>
  </si>
  <si>
    <t xml:space="preserve">Indoor, humidity-resistant materials.</t>
  </si>
  <si>
    <t xml:space="preserve">Treatment bed</t>
  </si>
  <si>
    <t xml:space="preserve">Camilla de tratamiento</t>
  </si>
  <si>
    <t xml:space="preserve">Often supplied by the spa operator.</t>
  </si>
  <si>
    <t xml:space="preserve">Therapist stool</t>
  </si>
  <si>
    <t xml:space="preserve">Taburete terapeuta</t>
  </si>
  <si>
    <t xml:space="preserve">Common areas — reception, library, privé, multipurpose room, by phase</t>
  </si>
  <si>
    <t xml:space="preserve">Reception items repeat in every hotel (1 per licence, meeting 12/08/26). Library and privé in the casa club (meeting 26/05/26); multipurpose room in Lodges A (meeting 12/08/26).</t>
  </si>
  <si>
    <t xml:space="preserve">Phase (1–4) or 'per hotel'</t>
  </si>
  <si>
    <t xml:space="preserve">Reception desk</t>
  </si>
  <si>
    <t xml:space="preserve">Mostrador de recepción</t>
  </si>
  <si>
    <t xml:space="preserve">1 per hotel; Hotel 3 in glass cube.</t>
  </si>
  <si>
    <t xml:space="preserve">per hotel</t>
  </si>
  <si>
    <t xml:space="preserve">Reception operator chair</t>
  </si>
  <si>
    <t xml:space="preserve">Silla recepción</t>
  </si>
  <si>
    <t xml:space="preserve">Reception waiting seats</t>
  </si>
  <si>
    <t xml:space="preserve">Asientos espera recepción</t>
  </si>
  <si>
    <t xml:space="preserve">Reception lamp</t>
  </si>
  <si>
    <t xml:space="preserve">Lámpara recepción</t>
  </si>
  <si>
    <t xml:space="preserve">Library / reading room armchair</t>
  </si>
  <si>
    <t xml:space="preserve">Butaca biblioteca</t>
  </si>
  <si>
    <t xml:space="preserve">Deep armchairs, natural light.</t>
  </si>
  <si>
    <t xml:space="preserve">Library sofa</t>
  </si>
  <si>
    <t xml:space="preserve">Sofá biblioteca</t>
  </si>
  <si>
    <t xml:space="preserve">Reading / work table</t>
  </si>
  <si>
    <t xml:space="preserve">Mesa de lectura</t>
  </si>
  <si>
    <t xml:space="preserve">Quiet work, no fixed workstations.</t>
  </si>
  <si>
    <t xml:space="preserve">Reading table chair</t>
  </si>
  <si>
    <t xml:space="preserve">Silla mesa de lectura</t>
  </si>
  <si>
    <t xml:space="preserve">Library side table</t>
  </si>
  <si>
    <t xml:space="preserve">Mesa auxiliar biblioteca</t>
  </si>
  <si>
    <t xml:space="preserve">Library reading lamp</t>
  </si>
  <si>
    <t xml:space="preserve">Lámpara de lectura</t>
  </si>
  <si>
    <t xml:space="preserve">Privé / conference meeting table</t>
  </si>
  <si>
    <t xml:space="preserve">Mesa de reuniones privé</t>
  </si>
  <si>
    <t xml:space="preserve">16 seats.</t>
  </si>
  <si>
    <t xml:space="preserve">Privé meeting chair</t>
  </si>
  <si>
    <t xml:space="preserve">Silla de reuniones</t>
  </si>
  <si>
    <t xml:space="preserve">Book launches, intimate dinners, committees.</t>
  </si>
  <si>
    <t xml:space="preserve">Privé lounge seats</t>
  </si>
  <si>
    <t xml:space="preserve">Asientos lounge privé</t>
  </si>
  <si>
    <t xml:space="preserve">Privé lamps</t>
  </si>
  <si>
    <t xml:space="preserve">Lámparas privé</t>
  </si>
  <si>
    <t xml:space="preserve">Multipurpose room stacking chair</t>
  </si>
  <si>
    <t xml:space="preserve">Silla apilable sala polivalente</t>
  </si>
  <si>
    <t xml:space="preserve">Room divisible with panels, for corporate events.</t>
  </si>
  <si>
    <t xml:space="preserve">Multipurpose room folding table</t>
  </si>
  <si>
    <t xml:space="preserve">Mesa plegable sala polivalente</t>
  </si>
  <si>
    <t xml:space="preserve">Garden / outdoor lounge lamps</t>
  </si>
  <si>
    <t xml:space="preserve">Lámparas exterior recargables</t>
  </si>
  <si>
    <t xml:space="preserve">Amber light, gardens.</t>
  </si>
  <si>
    <t xml:space="preserve">Garden bench</t>
  </si>
  <si>
    <t xml:space="preserve">Banco de jardín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</si>
</sst>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%"/>
    <numFmt numFmtId="167" formatCode="0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4A3A"/>
        <bgColor rgb="FF555555"/>
      </patternFill>
    </fill>
    <fill>
      <patternFill patternType="solid">
        <fgColor rgb="FFEFE7DC"/>
        <bgColor rgb="FFFFF2B3"/>
      </patternFill>
    </fill>
    <fill>
      <patternFill patternType="solid">
        <fgColor rgb="FFFFF2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7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B4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5" min="2" style="0" width="14"/>
    <col collapsed="false" customWidth="true" hidden="false" outlineLevel="0" max="6" min="6" style="0" width="11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f aca="false">Assumptions!B23</f>
        <v>14</v>
      </c>
      <c r="C5" s="5" t="n">
        <f aca="false">Assumptions!C23</f>
        <v>18</v>
      </c>
      <c r="D5" s="5" t="n">
        <f aca="false">Assumptions!D23</f>
        <v>12</v>
      </c>
      <c r="E5" s="5" t="n">
        <f aca="false">Assumptions!E23</f>
        <v>12</v>
      </c>
      <c r="F5" s="6" t="n">
        <f aca="false">SUM(B5:E5)</f>
        <v>56</v>
      </c>
      <c r="G5" s="7" t="s">
        <v>10</v>
      </c>
    </row>
    <row r="6" customFormat="false" ht="15" hidden="false" customHeight="false" outlineLevel="0" collapsed="false">
      <c r="A6" s="4" t="s">
        <v>11</v>
      </c>
      <c r="B6" s="5" t="n">
        <f aca="false">Assumptions!B24</f>
        <v>15</v>
      </c>
      <c r="C6" s="5" t="n">
        <f aca="false">Assumptions!C24</f>
        <v>20</v>
      </c>
      <c r="D6" s="5" t="n">
        <f aca="false">Assumptions!D24</f>
        <v>13</v>
      </c>
      <c r="E6" s="5" t="n">
        <f aca="false">Assumptions!E24</f>
        <v>13</v>
      </c>
      <c r="F6" s="6" t="n">
        <f aca="false">SUM(B6:E6)</f>
        <v>61</v>
      </c>
      <c r="G6" s="7" t="s">
        <v>10</v>
      </c>
    </row>
    <row r="7" customFormat="false" ht="15" hidden="false" customHeight="false" outlineLevel="0" collapsed="false">
      <c r="A7" s="4" t="s">
        <v>12</v>
      </c>
      <c r="B7" s="5" t="n">
        <f aca="false">Assumptions!B25</f>
        <v>4</v>
      </c>
      <c r="C7" s="5" t="n">
        <f aca="false">Assumptions!C25</f>
        <v>6</v>
      </c>
      <c r="D7" s="5" t="n">
        <f aca="false">Assumptions!D25</f>
        <v>3</v>
      </c>
      <c r="E7" s="5" t="n">
        <f aca="false">Assumptions!E25</f>
        <v>3</v>
      </c>
      <c r="F7" s="6" t="n">
        <f aca="false">SUM(B7:E7)</f>
        <v>16</v>
      </c>
      <c r="G7" s="7" t="s">
        <v>10</v>
      </c>
    </row>
    <row r="8" customFormat="false" ht="15" hidden="false" customHeight="false" outlineLevel="0" collapsed="false">
      <c r="A8" s="4" t="s">
        <v>13</v>
      </c>
      <c r="B8" s="5" t="n">
        <f aca="false">Assumptions!B30</f>
        <v>1</v>
      </c>
      <c r="C8" s="5" t="n">
        <f aca="false">Assumptions!C30</f>
        <v>1</v>
      </c>
      <c r="D8" s="5" t="n">
        <f aca="false">Assumptions!D30</f>
        <v>1</v>
      </c>
      <c r="E8" s="5" t="n">
        <f aca="false">Assumptions!E30</f>
        <v>1</v>
      </c>
      <c r="F8" s="6" t="n">
        <f aca="false">SUM(B8:E8)</f>
        <v>4</v>
      </c>
      <c r="G8" s="7" t="s">
        <v>10</v>
      </c>
    </row>
    <row r="9" customFormat="false" ht="15" hidden="false" customHeight="false" outlineLevel="0" collapsed="false">
      <c r="A9" s="4" t="s">
        <v>14</v>
      </c>
      <c r="B9" s="5" t="n">
        <f aca="false">SUMPRODUCT(('F&amp;B'!$D$5:$D$11+'F&amp;B'!$E$5:$E$11)*('F&amp;B'!$C$5:$C$11=1))</f>
        <v>190</v>
      </c>
      <c r="C9" s="5" t="n">
        <f aca="false">SUMPRODUCT(('F&amp;B'!$D$5:$D$11+'F&amp;B'!$E$5:$E$11)*('F&amp;B'!$C$5:$C$11=2))</f>
        <v>70</v>
      </c>
      <c r="D9" s="5" t="n">
        <f aca="false">SUMPRODUCT(('F&amp;B'!$D$5:$D$11+'F&amp;B'!$E$5:$E$11)*('F&amp;B'!$C$5:$C$11=3))</f>
        <v>40</v>
      </c>
      <c r="E9" s="5" t="n">
        <f aca="false">SUMPRODUCT(('F&amp;B'!$D$5:$D$11+'F&amp;B'!$E$5:$E$11)*('F&amp;B'!$C$5:$C$11=4))</f>
        <v>60</v>
      </c>
      <c r="F9" s="6" t="n">
        <f aca="false">SUM(B9:E9)</f>
        <v>360</v>
      </c>
      <c r="G9" s="7" t="s">
        <v>10</v>
      </c>
    </row>
    <row r="11" customFormat="false" ht="23.85" hidden="false" customHeight="false" outlineLevel="0" collapsed="false">
      <c r="A11" s="3" t="s">
        <v>15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</row>
    <row r="12" customFormat="false" ht="15" hidden="false" customHeight="false" outlineLevel="0" collapsed="false">
      <c r="A12" s="7" t="s">
        <v>16</v>
      </c>
      <c r="B12" s="5" t="n">
        <f aca="false">SUMIF(Rooms!$C:$C,$A12,Rooms!$D:$D)+SUMIF('F&amp;B'!$C:$C,$A12,'F&amp;B'!$D:$D)+SUMIF('Pools &amp; Spa'!$C:$C,$A12,'Pools &amp; Spa'!$D:$D)+SUMIF('Common Areas'!$C:$C,$A12,'Common Areas'!$D:$D)</f>
        <v>30</v>
      </c>
      <c r="C12" s="5" t="n">
        <f aca="false">SUMIF(Rooms!$C:$C,$A12,Rooms!$E:$E)+SUMIF('F&amp;B'!$C:$C,$A12,'F&amp;B'!$E:$E)+SUMIF('Pools &amp; Spa'!$C:$C,$A12,'Pools &amp; Spa'!$E:$E)+SUMIF('Common Areas'!$C:$C,$A12,'Common Areas'!$E:$E)</f>
        <v>40</v>
      </c>
      <c r="D12" s="5" t="n">
        <f aca="false">SUMIF(Rooms!$C:$C,$A12,Rooms!$F:$F)+SUMIF('F&amp;B'!$C:$C,$A12,'F&amp;B'!$F:$F)+SUMIF('Pools &amp; Spa'!$C:$C,$A12,'Pools &amp; Spa'!$F:$F)+SUMIF('Common Areas'!$C:$C,$A12,'Common Areas'!$F:$F)</f>
        <v>26</v>
      </c>
      <c r="E12" s="5" t="n">
        <f aca="false">SUMIF(Rooms!$C:$C,$A12,Rooms!$G:$G)+SUMIF('F&amp;B'!$C:$C,$A12,'F&amp;B'!$G:$G)+SUMIF('Pools &amp; Spa'!$C:$C,$A12,'Pools &amp; Spa'!$G:$G)+SUMIF('Common Areas'!$C:$C,$A12,'Common Areas'!$G:$G)</f>
        <v>26</v>
      </c>
      <c r="F12" s="6" t="n">
        <f aca="false">SUM(B12:E12)</f>
        <v>122</v>
      </c>
      <c r="G12" s="5" t="n">
        <f aca="false">SUMIF(Rooms!$C:$C,$A12,Rooms!$I:$I)+SUMIF('F&amp;B'!$C:$C,$A12,'F&amp;B'!$I:$I)+SUMIF('Pools &amp; Spa'!$C:$C,$A12,'Pools &amp; Spa'!$I:$I)+SUMIF('Common Areas'!$C:$C,$A12,'Common Areas'!$I:$I)</f>
        <v>135</v>
      </c>
    </row>
    <row r="13" customFormat="false" ht="15" hidden="false" customHeight="false" outlineLevel="0" collapsed="false">
      <c r="A13" s="7" t="s">
        <v>17</v>
      </c>
      <c r="B13" s="5" t="n">
        <f aca="false">SUMIF(Rooms!$C:$C,$A13,Rooms!$D:$D)+SUMIF('F&amp;B'!$C:$C,$A13,'F&amp;B'!$D:$D)+SUMIF('Pools &amp; Spa'!$C:$C,$A13,'Pools &amp; Spa'!$D:$D)+SUMIF('Common Areas'!$C:$C,$A13,'Common Areas'!$D:$D)</f>
        <v>30</v>
      </c>
      <c r="C13" s="5" t="n">
        <f aca="false">SUMIF(Rooms!$C:$C,$A13,Rooms!$E:$E)+SUMIF('F&amp;B'!$C:$C,$A13,'F&amp;B'!$E:$E)+SUMIF('Pools &amp; Spa'!$C:$C,$A13,'Pools &amp; Spa'!$E:$E)+SUMIF('Common Areas'!$C:$C,$A13,'Common Areas'!$E:$E)</f>
        <v>40</v>
      </c>
      <c r="D13" s="5" t="n">
        <f aca="false">SUMIF(Rooms!$C:$C,$A13,Rooms!$F:$F)+SUMIF('F&amp;B'!$C:$C,$A13,'F&amp;B'!$F:$F)+SUMIF('Pools &amp; Spa'!$C:$C,$A13,'Pools &amp; Spa'!$F:$F)+SUMIF('Common Areas'!$C:$C,$A13,'Common Areas'!$F:$F)</f>
        <v>26</v>
      </c>
      <c r="E13" s="5" t="n">
        <f aca="false">SUMIF(Rooms!$C:$C,$A13,Rooms!$G:$G)+SUMIF('F&amp;B'!$C:$C,$A13,'F&amp;B'!$G:$G)+SUMIF('Pools &amp; Spa'!$C:$C,$A13,'Pools &amp; Spa'!$G:$G)+SUMIF('Common Areas'!$C:$C,$A13,'Common Areas'!$G:$G)</f>
        <v>26</v>
      </c>
      <c r="F13" s="6" t="n">
        <f aca="false">SUM(B13:E13)</f>
        <v>122</v>
      </c>
      <c r="G13" s="5" t="n">
        <f aca="false">SUMIF(Rooms!$C:$C,$A13,Rooms!$I:$I)+SUMIF('F&amp;B'!$C:$C,$A13,'F&amp;B'!$I:$I)+SUMIF('Pools &amp; Spa'!$C:$C,$A13,'Pools &amp; Spa'!$I:$I)+SUMIF('Common Areas'!$C:$C,$A13,'Common Areas'!$I:$I)</f>
        <v>135</v>
      </c>
    </row>
    <row r="14" customFormat="false" ht="15" hidden="false" customHeight="false" outlineLevel="0" collapsed="false">
      <c r="A14" s="7" t="s">
        <v>18</v>
      </c>
      <c r="B14" s="5" t="n">
        <f aca="false">SUMIF(Rooms!$C:$C,$A14,Rooms!$D:$D)+SUMIF('F&amp;B'!$C:$C,$A14,'F&amp;B'!$D:$D)+SUMIF('Pools &amp; Spa'!$C:$C,$A14,'Pools &amp; Spa'!$D:$D)+SUMIF('Common Areas'!$C:$C,$A14,'Common Areas'!$D:$D)</f>
        <v>1</v>
      </c>
      <c r="C14" s="5" t="n">
        <f aca="false">SUMIF(Rooms!$C:$C,$A14,Rooms!$E:$E)+SUMIF('F&amp;B'!$C:$C,$A14,'F&amp;B'!$E:$E)+SUMIF('Pools &amp; Spa'!$C:$C,$A14,'Pools &amp; Spa'!$E:$E)+SUMIF('Common Areas'!$C:$C,$A14,'Common Areas'!$E:$E)</f>
        <v>1</v>
      </c>
      <c r="D14" s="5" t="n">
        <f aca="false">SUMIF(Rooms!$C:$C,$A14,Rooms!$F:$F)+SUMIF('F&amp;B'!$C:$C,$A14,'F&amp;B'!$F:$F)+SUMIF('Pools &amp; Spa'!$C:$C,$A14,'Pools &amp; Spa'!$F:$F)+SUMIF('Common Areas'!$C:$C,$A14,'Common Areas'!$F:$F)</f>
        <v>1</v>
      </c>
      <c r="E14" s="5" t="n">
        <f aca="false">SUMIF(Rooms!$C:$C,$A14,Rooms!$G:$G)+SUMIF('F&amp;B'!$C:$C,$A14,'F&amp;B'!$G:$G)+SUMIF('Pools &amp; Spa'!$C:$C,$A14,'Pools &amp; Spa'!$G:$G)+SUMIF('Common Areas'!$C:$C,$A14,'Common Areas'!$G:$G)</f>
        <v>1</v>
      </c>
      <c r="F14" s="6" t="n">
        <f aca="false">SUM(B14:E14)</f>
        <v>4</v>
      </c>
      <c r="G14" s="5" t="n">
        <f aca="false">SUMIF(Rooms!$C:$C,$A14,Rooms!$I:$I)+SUMIF('F&amp;B'!$C:$C,$A14,'F&amp;B'!$I:$I)+SUMIF('Pools &amp; Spa'!$C:$C,$A14,'Pools &amp; Spa'!$I:$I)+SUMIF('Common Areas'!$C:$C,$A14,'Common Areas'!$I:$I)</f>
        <v>5</v>
      </c>
    </row>
    <row r="15" customFormat="false" ht="15" hidden="false" customHeight="false" outlineLevel="0" collapsed="false">
      <c r="A15" s="7" t="s">
        <v>19</v>
      </c>
      <c r="B15" s="5" t="n">
        <f aca="false">SUMIF(Rooms!$C:$C,$A15,Rooms!$D:$D)+SUMIF('F&amp;B'!$C:$C,$A15,'F&amp;B'!$D:$D)+SUMIF('Pools &amp; Spa'!$C:$C,$A15,'Pools &amp; Spa'!$D:$D)+SUMIF('Common Areas'!$C:$C,$A15,'Common Areas'!$D:$D)</f>
        <v>15</v>
      </c>
      <c r="C15" s="5" t="n">
        <f aca="false">SUMIF(Rooms!$C:$C,$A15,Rooms!$E:$E)+SUMIF('F&amp;B'!$C:$C,$A15,'F&amp;B'!$E:$E)+SUMIF('Pools &amp; Spa'!$C:$C,$A15,'Pools &amp; Spa'!$E:$E)+SUMIF('Common Areas'!$C:$C,$A15,'Common Areas'!$E:$E)</f>
        <v>20</v>
      </c>
      <c r="D15" s="5" t="n">
        <f aca="false">SUMIF(Rooms!$C:$C,$A15,Rooms!$F:$F)+SUMIF('F&amp;B'!$C:$C,$A15,'F&amp;B'!$F:$F)+SUMIF('Pools &amp; Spa'!$C:$C,$A15,'Pools &amp; Spa'!$F:$F)+SUMIF('Common Areas'!$C:$C,$A15,'Common Areas'!$F:$F)</f>
        <v>13</v>
      </c>
      <c r="E15" s="5" t="n">
        <f aca="false">SUMIF(Rooms!$C:$C,$A15,Rooms!$G:$G)+SUMIF('F&amp;B'!$C:$C,$A15,'F&amp;B'!$G:$G)+SUMIF('Pools &amp; Spa'!$C:$C,$A15,'Pools &amp; Spa'!$G:$G)+SUMIF('Common Areas'!$C:$C,$A15,'Common Areas'!$G:$G)</f>
        <v>13</v>
      </c>
      <c r="F15" s="6" t="n">
        <f aca="false">SUM(B15:E15)</f>
        <v>61</v>
      </c>
      <c r="G15" s="5" t="n">
        <f aca="false">SUMIF(Rooms!$C:$C,$A15,Rooms!$I:$I)+SUMIF('F&amp;B'!$C:$C,$A15,'F&amp;B'!$I:$I)+SUMIF('Pools &amp; Spa'!$C:$C,$A15,'Pools &amp; Spa'!$I:$I)+SUMIF('Common Areas'!$C:$C,$A15,'Common Areas'!$I:$I)</f>
        <v>68</v>
      </c>
    </row>
    <row r="16" customFormat="false" ht="15" hidden="false" customHeight="false" outlineLevel="0" collapsed="false">
      <c r="A16" s="7" t="s">
        <v>20</v>
      </c>
      <c r="B16" s="5" t="n">
        <f aca="false">SUMIF(Rooms!$C:$C,$A16,Rooms!$D:$D)+SUMIF('F&amp;B'!$C:$C,$A16,'F&amp;B'!$D:$D)+SUMIF('Pools &amp; Spa'!$C:$C,$A16,'Pools &amp; Spa'!$D:$D)+SUMIF('Common Areas'!$C:$C,$A16,'Common Areas'!$D:$D)</f>
        <v>30</v>
      </c>
      <c r="C16" s="5" t="n">
        <f aca="false">SUMIF(Rooms!$C:$C,$A16,Rooms!$E:$E)+SUMIF('F&amp;B'!$C:$C,$A16,'F&amp;B'!$E:$E)+SUMIF('Pools &amp; Spa'!$C:$C,$A16,'Pools &amp; Spa'!$E:$E)+SUMIF('Common Areas'!$C:$C,$A16,'Common Areas'!$E:$E)</f>
        <v>40</v>
      </c>
      <c r="D16" s="5" t="n">
        <f aca="false">SUMIF(Rooms!$C:$C,$A16,Rooms!$F:$F)+SUMIF('F&amp;B'!$C:$C,$A16,'F&amp;B'!$F:$F)+SUMIF('Pools &amp; Spa'!$C:$C,$A16,'Pools &amp; Spa'!$F:$F)+SUMIF('Common Areas'!$C:$C,$A16,'Common Areas'!$F:$F)</f>
        <v>26</v>
      </c>
      <c r="E16" s="5" t="n">
        <f aca="false">SUMIF(Rooms!$C:$C,$A16,Rooms!$G:$G)+SUMIF('F&amp;B'!$C:$C,$A16,'F&amp;B'!$G:$G)+SUMIF('Pools &amp; Spa'!$C:$C,$A16,'Pools &amp; Spa'!$G:$G)+SUMIF('Common Areas'!$C:$C,$A16,'Common Areas'!$G:$G)</f>
        <v>26</v>
      </c>
      <c r="F16" s="6" t="n">
        <f aca="false">SUM(B16:E16)</f>
        <v>122</v>
      </c>
      <c r="G16" s="5" t="n">
        <f aca="false">SUMIF(Rooms!$C:$C,$A16,Rooms!$I:$I)+SUMIF('F&amp;B'!$C:$C,$A16,'F&amp;B'!$I:$I)+SUMIF('Pools &amp; Spa'!$C:$C,$A16,'Pools &amp; Spa'!$I:$I)+SUMIF('Common Areas'!$C:$C,$A16,'Common Areas'!$I:$I)</f>
        <v>135</v>
      </c>
    </row>
    <row r="17" customFormat="false" ht="15" hidden="false" customHeight="false" outlineLevel="0" collapsed="false">
      <c r="A17" s="7" t="s">
        <v>21</v>
      </c>
      <c r="B17" s="5" t="n">
        <f aca="false">SUMIF(Rooms!$C:$C,$A17,Rooms!$D:$D)+SUMIF('F&amp;B'!$C:$C,$A17,'F&amp;B'!$D:$D)+SUMIF('Pools &amp; Spa'!$C:$C,$A17,'Pools &amp; Spa'!$D:$D)+SUMIF('Common Areas'!$C:$C,$A17,'Common Areas'!$D:$D)</f>
        <v>14</v>
      </c>
      <c r="C17" s="5" t="n">
        <f aca="false">SUMIF(Rooms!$C:$C,$A17,Rooms!$E:$E)+SUMIF('F&amp;B'!$C:$C,$A17,'F&amp;B'!$E:$E)+SUMIF('Pools &amp; Spa'!$C:$C,$A17,'Pools &amp; Spa'!$E:$E)+SUMIF('Common Areas'!$C:$C,$A17,'Common Areas'!$E:$E)</f>
        <v>18</v>
      </c>
      <c r="D17" s="5" t="n">
        <f aca="false">SUMIF(Rooms!$C:$C,$A17,Rooms!$F:$F)+SUMIF('F&amp;B'!$C:$C,$A17,'F&amp;B'!$F:$F)+SUMIF('Pools &amp; Spa'!$C:$C,$A17,'Pools &amp; Spa'!$F:$F)+SUMIF('Common Areas'!$C:$C,$A17,'Common Areas'!$F:$F)</f>
        <v>12</v>
      </c>
      <c r="E17" s="5" t="n">
        <f aca="false">SUMIF(Rooms!$C:$C,$A17,Rooms!$G:$G)+SUMIF('F&amp;B'!$C:$C,$A17,'F&amp;B'!$G:$G)+SUMIF('Pools &amp; Spa'!$C:$C,$A17,'Pools &amp; Spa'!$G:$G)+SUMIF('Common Areas'!$C:$C,$A17,'Common Areas'!$G:$G)</f>
        <v>12</v>
      </c>
      <c r="F17" s="6" t="n">
        <f aca="false">SUM(B17:E17)</f>
        <v>56</v>
      </c>
      <c r="G17" s="5" t="n">
        <f aca="false">SUMIF(Rooms!$C:$C,$A17,Rooms!$I:$I)+SUMIF('F&amp;B'!$C:$C,$A17,'F&amp;B'!$I:$I)+SUMIF('Pools &amp; Spa'!$C:$C,$A17,'Pools &amp; Spa'!$I:$I)+SUMIF('Common Areas'!$C:$C,$A17,'Common Areas'!$I:$I)</f>
        <v>62</v>
      </c>
    </row>
    <row r="18" customFormat="false" ht="15" hidden="false" customHeight="false" outlineLevel="0" collapsed="false">
      <c r="A18" s="7" t="s">
        <v>22</v>
      </c>
      <c r="B18" s="5" t="n">
        <f aca="false">SUMIF(Rooms!$C:$C,$A18,Rooms!$D:$D)+SUMIF('F&amp;B'!$C:$C,$A18,'F&amp;B'!$D:$D)+SUMIF('Pools &amp; Spa'!$C:$C,$A18,'Pools &amp; Spa'!$D:$D)+SUMIF('Common Areas'!$C:$C,$A18,'Common Areas'!$D:$D)</f>
        <v>16</v>
      </c>
      <c r="C18" s="5" t="n">
        <f aca="false">SUMIF(Rooms!$C:$C,$A18,Rooms!$E:$E)+SUMIF('F&amp;B'!$C:$C,$A18,'F&amp;B'!$E:$E)+SUMIF('Pools &amp; Spa'!$C:$C,$A18,'Pools &amp; Spa'!$E:$E)+SUMIF('Common Areas'!$C:$C,$A18,'Common Areas'!$E:$E)</f>
        <v>20</v>
      </c>
      <c r="D18" s="5" t="n">
        <f aca="false">SUMIF(Rooms!$C:$C,$A18,Rooms!$F:$F)+SUMIF('F&amp;B'!$C:$C,$A18,'F&amp;B'!$F:$F)+SUMIF('Pools &amp; Spa'!$C:$C,$A18,'Pools &amp; Spa'!$F:$F)+SUMIF('Common Areas'!$C:$C,$A18,'Common Areas'!$F:$F)</f>
        <v>14</v>
      </c>
      <c r="E18" s="5" t="n">
        <f aca="false">SUMIF(Rooms!$C:$C,$A18,Rooms!$G:$G)+SUMIF('F&amp;B'!$C:$C,$A18,'F&amp;B'!$G:$G)+SUMIF('Pools &amp; Spa'!$C:$C,$A18,'Pools &amp; Spa'!$G:$G)+SUMIF('Common Areas'!$C:$C,$A18,'Common Areas'!$G:$G)</f>
        <v>14</v>
      </c>
      <c r="F18" s="6" t="n">
        <f aca="false">SUM(B18:E18)</f>
        <v>64</v>
      </c>
      <c r="G18" s="5" t="n">
        <f aca="false">SUMIF(Rooms!$C:$C,$A18,Rooms!$I:$I)+SUMIF('F&amp;B'!$C:$C,$A18,'F&amp;B'!$I:$I)+SUMIF('Pools &amp; Spa'!$C:$C,$A18,'Pools &amp; Spa'!$I:$I)+SUMIF('Common Areas'!$C:$C,$A18,'Common Areas'!$I:$I)</f>
        <v>71</v>
      </c>
    </row>
    <row r="19" customFormat="false" ht="15" hidden="false" customHeight="false" outlineLevel="0" collapsed="false">
      <c r="A19" s="7" t="s">
        <v>23</v>
      </c>
      <c r="B19" s="5" t="n">
        <f aca="false">SUMIF(Rooms!$C:$C,$A19,Rooms!$D:$D)+SUMIF('F&amp;B'!$C:$C,$A19,'F&amp;B'!$D:$D)+SUMIF('Pools &amp; Spa'!$C:$C,$A19,'Pools &amp; Spa'!$D:$D)+SUMIF('Common Areas'!$C:$C,$A19,'Common Areas'!$D:$D)</f>
        <v>15</v>
      </c>
      <c r="C19" s="5" t="n">
        <f aca="false">SUMIF(Rooms!$C:$C,$A19,Rooms!$E:$E)+SUMIF('F&amp;B'!$C:$C,$A19,'F&amp;B'!$E:$E)+SUMIF('Pools &amp; Spa'!$C:$C,$A19,'Pools &amp; Spa'!$E:$E)+SUMIF('Common Areas'!$C:$C,$A19,'Common Areas'!$E:$E)</f>
        <v>20</v>
      </c>
      <c r="D19" s="5" t="n">
        <f aca="false">SUMIF(Rooms!$C:$C,$A19,Rooms!$F:$F)+SUMIF('F&amp;B'!$C:$C,$A19,'F&amp;B'!$F:$F)+SUMIF('Pools &amp; Spa'!$C:$C,$A19,'Pools &amp; Spa'!$F:$F)+SUMIF('Common Areas'!$C:$C,$A19,'Common Areas'!$F:$F)</f>
        <v>13</v>
      </c>
      <c r="E19" s="5" t="n">
        <f aca="false">SUMIF(Rooms!$C:$C,$A19,Rooms!$G:$G)+SUMIF('F&amp;B'!$C:$C,$A19,'F&amp;B'!$G:$G)+SUMIF('Pools &amp; Spa'!$C:$C,$A19,'Pools &amp; Spa'!$G:$G)+SUMIF('Common Areas'!$C:$C,$A19,'Common Areas'!$G:$G)</f>
        <v>13</v>
      </c>
      <c r="F19" s="6" t="n">
        <f aca="false">SUM(B19:E19)</f>
        <v>61</v>
      </c>
      <c r="G19" s="5" t="n">
        <f aca="false">SUMIF(Rooms!$C:$C,$A19,Rooms!$I:$I)+SUMIF('F&amp;B'!$C:$C,$A19,'F&amp;B'!$I:$I)+SUMIF('Pools &amp; Spa'!$C:$C,$A19,'Pools &amp; Spa'!$I:$I)+SUMIF('Common Areas'!$C:$C,$A19,'Common Areas'!$I:$I)</f>
        <v>68</v>
      </c>
    </row>
    <row r="20" customFormat="false" ht="15" hidden="false" customHeight="false" outlineLevel="0" collapsed="false">
      <c r="A20" s="7" t="s">
        <v>24</v>
      </c>
      <c r="B20" s="5" t="n">
        <f aca="false">SUMIF(Rooms!$C:$C,$A20,Rooms!$D:$D)+SUMIF('F&amp;B'!$C:$C,$A20,'F&amp;B'!$D:$D)+SUMIF('Pools &amp; Spa'!$C:$C,$A20,'Pools &amp; Spa'!$D:$D)+SUMIF('Common Areas'!$C:$C,$A20,'Common Areas'!$D:$D)</f>
        <v>76</v>
      </c>
      <c r="C20" s="5" t="n">
        <f aca="false">SUMIF(Rooms!$C:$C,$A20,Rooms!$E:$E)+SUMIF('F&amp;B'!$C:$C,$A20,'F&amp;B'!$E:$E)+SUMIF('Pools &amp; Spa'!$C:$C,$A20,'Pools &amp; Spa'!$E:$E)+SUMIF('Common Areas'!$C:$C,$A20,'Common Areas'!$E:$E)</f>
        <v>100</v>
      </c>
      <c r="D20" s="5" t="n">
        <f aca="false">SUMIF(Rooms!$C:$C,$A20,Rooms!$F:$F)+SUMIF('F&amp;B'!$C:$C,$A20,'F&amp;B'!$F:$F)+SUMIF('Pools &amp; Spa'!$C:$C,$A20,'Pools &amp; Spa'!$F:$F)+SUMIF('Common Areas'!$C:$C,$A20,'Common Areas'!$F:$F)</f>
        <v>65</v>
      </c>
      <c r="E20" s="5" t="n">
        <f aca="false">SUMIF(Rooms!$C:$C,$A20,Rooms!$G:$G)+SUMIF('F&amp;B'!$C:$C,$A20,'F&amp;B'!$G:$G)+SUMIF('Pools &amp; Spa'!$C:$C,$A20,'Pools &amp; Spa'!$G:$G)+SUMIF('Common Areas'!$C:$C,$A20,'Common Areas'!$G:$G)</f>
        <v>65</v>
      </c>
      <c r="F20" s="6" t="n">
        <f aca="false">SUM(B20:E20)</f>
        <v>306</v>
      </c>
      <c r="G20" s="5" t="n">
        <f aca="false">SUMIF(Rooms!$C:$C,$A20,Rooms!$I:$I)+SUMIF('F&amp;B'!$C:$C,$A20,'F&amp;B'!$I:$I)+SUMIF('Pools &amp; Spa'!$C:$C,$A20,'Pools &amp; Spa'!$I:$I)+SUMIF('Common Areas'!$C:$C,$A20,'Common Areas'!$I:$I)</f>
        <v>339</v>
      </c>
    </row>
    <row r="21" customFormat="false" ht="15" hidden="false" customHeight="false" outlineLevel="0" collapsed="false">
      <c r="A21" s="7" t="s">
        <v>25</v>
      </c>
      <c r="B21" s="5" t="n">
        <f aca="false">SUMIF(Rooms!$C:$C,$A21,Rooms!$D:$D)+SUMIF('F&amp;B'!$C:$C,$A21,'F&amp;B'!$D:$D)+SUMIF('Pools &amp; Spa'!$C:$C,$A21,'Pools &amp; Spa'!$D:$D)+SUMIF('Common Areas'!$C:$C,$A21,'Common Areas'!$D:$D)</f>
        <v>100</v>
      </c>
      <c r="C21" s="5" t="n">
        <f aca="false">SUMIF(Rooms!$C:$C,$A21,Rooms!$E:$E)+SUMIF('F&amp;B'!$C:$C,$A21,'F&amp;B'!$E:$E)+SUMIF('Pools &amp; Spa'!$C:$C,$A21,'Pools &amp; Spa'!$E:$E)+SUMIF('Common Areas'!$C:$C,$A21,'Common Areas'!$E:$E)</f>
        <v>39</v>
      </c>
      <c r="D21" s="5" t="n">
        <f aca="false">SUMIF(Rooms!$C:$C,$A21,Rooms!$F:$F)+SUMIF('F&amp;B'!$C:$C,$A21,'F&amp;B'!$F:$F)+SUMIF('Pools &amp; Spa'!$C:$C,$A21,'Pools &amp; Spa'!$F:$F)+SUMIF('Common Areas'!$C:$C,$A21,'Common Areas'!$F:$F)</f>
        <v>21</v>
      </c>
      <c r="E21" s="5" t="n">
        <f aca="false">SUMIF(Rooms!$C:$C,$A21,Rooms!$G:$G)+SUMIF('F&amp;B'!$C:$C,$A21,'F&amp;B'!$G:$G)+SUMIF('Pools &amp; Spa'!$C:$C,$A21,'Pools &amp; Spa'!$G:$G)+SUMIF('Common Areas'!$C:$C,$A21,'Common Areas'!$G:$G)</f>
        <v>32</v>
      </c>
      <c r="F21" s="6" t="n">
        <f aca="false">SUM(B21:E21)</f>
        <v>192</v>
      </c>
      <c r="G21" s="5" t="n">
        <f aca="false">SUMIF(Rooms!$C:$C,$A21,Rooms!$I:$I)+SUMIF('F&amp;B'!$C:$C,$A21,'F&amp;B'!$I:$I)+SUMIF('Pools &amp; Spa'!$C:$C,$A21,'Pools &amp; Spa'!$I:$I)+SUMIF('Common Areas'!$C:$C,$A21,'Common Areas'!$I:$I)</f>
        <v>213</v>
      </c>
    </row>
    <row r="22" customFormat="false" ht="15" hidden="false" customHeight="false" outlineLevel="0" collapsed="false">
      <c r="A22" s="7" t="s">
        <v>26</v>
      </c>
      <c r="B22" s="5" t="n">
        <f aca="false">SUMIF(Rooms!$C:$C,$A22,Rooms!$D:$D)+SUMIF('F&amp;B'!$C:$C,$A22,'F&amp;B'!$D:$D)+SUMIF('Pools &amp; Spa'!$C:$C,$A22,'Pools &amp; Spa'!$D:$D)+SUMIF('Common Areas'!$C:$C,$A22,'Common Areas'!$D:$D)</f>
        <v>40</v>
      </c>
      <c r="C22" s="5" t="n">
        <f aca="false">SUMIF(Rooms!$C:$C,$A22,Rooms!$E:$E)+SUMIF('F&amp;B'!$C:$C,$A22,'F&amp;B'!$E:$E)+SUMIF('Pools &amp; Spa'!$C:$C,$A22,'Pools &amp; Spa'!$E:$E)+SUMIF('Common Areas'!$C:$C,$A22,'Common Areas'!$E:$E)</f>
        <v>2</v>
      </c>
      <c r="D22" s="5" t="n">
        <f aca="false">SUMIF(Rooms!$C:$C,$A22,Rooms!$F:$F)+SUMIF('F&amp;B'!$C:$C,$A22,'F&amp;B'!$F:$F)+SUMIF('Pools &amp; Spa'!$C:$C,$A22,'Pools &amp; Spa'!$F:$F)+SUMIF('Common Areas'!$C:$C,$A22,'Common Areas'!$F:$F)</f>
        <v>2</v>
      </c>
      <c r="E22" s="5" t="n">
        <f aca="false">SUMIF(Rooms!$C:$C,$A22,Rooms!$G:$G)+SUMIF('F&amp;B'!$C:$C,$A22,'F&amp;B'!$G:$G)+SUMIF('Pools &amp; Spa'!$C:$C,$A22,'Pools &amp; Spa'!$G:$G)+SUMIF('Common Areas'!$C:$C,$A22,'Common Areas'!$G:$G)</f>
        <v>2</v>
      </c>
      <c r="F22" s="6" t="n">
        <f aca="false">SUM(B22:E22)</f>
        <v>46</v>
      </c>
      <c r="G22" s="5" t="n">
        <f aca="false">SUMIF(Rooms!$C:$C,$A22,Rooms!$I:$I)+SUMIF('F&amp;B'!$C:$C,$A22,'F&amp;B'!$I:$I)+SUMIF('Pools &amp; Spa'!$C:$C,$A22,'Pools &amp; Spa'!$I:$I)+SUMIF('Common Areas'!$C:$C,$A22,'Common Areas'!$I:$I)</f>
        <v>52</v>
      </c>
    </row>
    <row r="23" customFormat="false" ht="15" hidden="false" customHeight="false" outlineLevel="0" collapsed="false">
      <c r="A23" s="7" t="s">
        <v>27</v>
      </c>
      <c r="B23" s="5" t="n">
        <f aca="false">SUMIF(Rooms!$C:$C,$A23,Rooms!$D:$D)+SUMIF('F&amp;B'!$C:$C,$A23,'F&amp;B'!$D:$D)+SUMIF('Pools &amp; Spa'!$C:$C,$A23,'Pools &amp; Spa'!$D:$D)+SUMIF('Common Areas'!$C:$C,$A23,'Common Areas'!$D:$D)</f>
        <v>90</v>
      </c>
      <c r="C23" s="5" t="n">
        <f aca="false">SUMIF(Rooms!$C:$C,$A23,Rooms!$E:$E)+SUMIF('F&amp;B'!$C:$C,$A23,'F&amp;B'!$E:$E)+SUMIF('Pools &amp; Spa'!$C:$C,$A23,'Pools &amp; Spa'!$E:$E)+SUMIF('Common Areas'!$C:$C,$A23,'Common Areas'!$E:$E)</f>
        <v>40</v>
      </c>
      <c r="D23" s="5" t="n">
        <f aca="false">SUMIF(Rooms!$C:$C,$A23,Rooms!$F:$F)+SUMIF('F&amp;B'!$C:$C,$A23,'F&amp;B'!$F:$F)+SUMIF('Pools &amp; Spa'!$C:$C,$A23,'Pools &amp; Spa'!$F:$F)+SUMIF('Common Areas'!$C:$C,$A23,'Common Areas'!$F:$F)</f>
        <v>16</v>
      </c>
      <c r="E23" s="5" t="n">
        <f aca="false">SUMIF(Rooms!$C:$C,$A23,Rooms!$G:$G)+SUMIF('F&amp;B'!$C:$C,$A23,'F&amp;B'!$G:$G)+SUMIF('Pools &amp; Spa'!$C:$C,$A23,'Pools &amp; Spa'!$G:$G)+SUMIF('Common Areas'!$C:$C,$A23,'Common Areas'!$G:$G)</f>
        <v>30</v>
      </c>
      <c r="F23" s="6" t="n">
        <f aca="false">SUM(B23:E23)</f>
        <v>176</v>
      </c>
      <c r="G23" s="5" t="n">
        <f aca="false">SUMIF(Rooms!$C:$C,$A23,Rooms!$I:$I)+SUMIF('F&amp;B'!$C:$C,$A23,'F&amp;B'!$I:$I)+SUMIF('Pools &amp; Spa'!$C:$C,$A23,'Pools &amp; Spa'!$I:$I)+SUMIF('Common Areas'!$C:$C,$A23,'Common Areas'!$I:$I)</f>
        <v>194</v>
      </c>
    </row>
    <row r="24" customFormat="false" ht="15" hidden="false" customHeight="false" outlineLevel="0" collapsed="false">
      <c r="A24" s="7" t="s">
        <v>28</v>
      </c>
      <c r="B24" s="5" t="n">
        <f aca="false">SUMIF(Rooms!$C:$C,$A24,Rooms!$D:$D)+SUMIF('F&amp;B'!$C:$C,$A24,'F&amp;B'!$D:$D)+SUMIF('Pools &amp; Spa'!$C:$C,$A24,'Pools &amp; Spa'!$D:$D)+SUMIF('Common Areas'!$C:$C,$A24,'Common Areas'!$D:$D)</f>
        <v>138</v>
      </c>
      <c r="C24" s="5" t="n">
        <f aca="false">SUMIF(Rooms!$C:$C,$A24,Rooms!$E:$E)+SUMIF('F&amp;B'!$C:$C,$A24,'F&amp;B'!$E:$E)+SUMIF('Pools &amp; Spa'!$C:$C,$A24,'Pools &amp; Spa'!$E:$E)+SUMIF('Common Areas'!$C:$C,$A24,'Common Areas'!$E:$E)</f>
        <v>66</v>
      </c>
      <c r="D24" s="5" t="n">
        <f aca="false">SUMIF(Rooms!$C:$C,$A24,Rooms!$F:$F)+SUMIF('F&amp;B'!$C:$C,$A24,'F&amp;B'!$F:$F)+SUMIF('Pools &amp; Spa'!$C:$C,$A24,'Pools &amp; Spa'!$F:$F)+SUMIF('Common Areas'!$C:$C,$A24,'Common Areas'!$F:$F)</f>
        <v>48</v>
      </c>
      <c r="E24" s="5" t="n">
        <f aca="false">SUMIF(Rooms!$C:$C,$A24,Rooms!$G:$G)+SUMIF('F&amp;B'!$C:$C,$A24,'F&amp;B'!$G:$G)+SUMIF('Pools &amp; Spa'!$C:$C,$A24,'Pools &amp; Spa'!$G:$G)+SUMIF('Common Areas'!$C:$C,$A24,'Common Areas'!$G:$G)</f>
        <v>54</v>
      </c>
      <c r="F24" s="6" t="n">
        <f aca="false">SUM(B24:E24)</f>
        <v>306</v>
      </c>
      <c r="G24" s="5" t="n">
        <f aca="false">SUMIF(Rooms!$C:$C,$A24,Rooms!$I:$I)+SUMIF('F&amp;B'!$C:$C,$A24,'F&amp;B'!$I:$I)+SUMIF('Pools &amp; Spa'!$C:$C,$A24,'Pools &amp; Spa'!$I:$I)+SUMIF('Common Areas'!$C:$C,$A24,'Common Areas'!$I:$I)</f>
        <v>338</v>
      </c>
    </row>
    <row r="25" customFormat="false" ht="15" hidden="false" customHeight="false" outlineLevel="0" collapsed="false">
      <c r="A25" s="7" t="s">
        <v>29</v>
      </c>
      <c r="B25" s="5" t="n">
        <f aca="false">SUMIF(Rooms!$C:$C,$A25,Rooms!$D:$D)+SUMIF('F&amp;B'!$C:$C,$A25,'F&amp;B'!$D:$D)+SUMIF('Pools &amp; Spa'!$C:$C,$A25,'Pools &amp; Spa'!$D:$D)+SUMIF('Common Areas'!$C:$C,$A25,'Common Areas'!$D:$D)</f>
        <v>28</v>
      </c>
      <c r="C25" s="5" t="n">
        <f aca="false">SUMIF(Rooms!$C:$C,$A25,Rooms!$E:$E)+SUMIF('F&amp;B'!$C:$C,$A25,'F&amp;B'!$E:$E)+SUMIF('Pools &amp; Spa'!$C:$C,$A25,'Pools &amp; Spa'!$E:$E)+SUMIF('Common Areas'!$C:$C,$A25,'Common Areas'!$E:$E)</f>
        <v>0</v>
      </c>
      <c r="D25" s="5" t="n">
        <f aca="false">SUMIF(Rooms!$C:$C,$A25,Rooms!$F:$F)+SUMIF('F&amp;B'!$C:$C,$A25,'F&amp;B'!$F:$F)+SUMIF('Pools &amp; Spa'!$C:$C,$A25,'Pools &amp; Spa'!$F:$F)+SUMIF('Common Areas'!$C:$C,$A25,'Common Areas'!$F:$F)</f>
        <v>80</v>
      </c>
      <c r="E25" s="5" t="n">
        <f aca="false">SUMIF(Rooms!$C:$C,$A25,Rooms!$G:$G)+SUMIF('F&amp;B'!$C:$C,$A25,'F&amp;B'!$G:$G)+SUMIF('Pools &amp; Spa'!$C:$C,$A25,'Pools &amp; Spa'!$G:$G)+SUMIF('Common Areas'!$C:$C,$A25,'Common Areas'!$G:$G)</f>
        <v>0</v>
      </c>
      <c r="F25" s="6" t="n">
        <f aca="false">SUM(B25:E25)</f>
        <v>108</v>
      </c>
      <c r="G25" s="5" t="n">
        <f aca="false">SUMIF(Rooms!$C:$C,$A25,Rooms!$I:$I)+SUMIF('F&amp;B'!$C:$C,$A25,'F&amp;B'!$I:$I)+SUMIF('Pools &amp; Spa'!$C:$C,$A25,'Pools &amp; Spa'!$I:$I)+SUMIF('Common Areas'!$C:$C,$A25,'Common Areas'!$I:$I)</f>
        <v>120</v>
      </c>
    </row>
    <row r="26" customFormat="false" ht="15" hidden="false" customHeight="false" outlineLevel="0" collapsed="false">
      <c r="A26" s="7" t="s">
        <v>30</v>
      </c>
      <c r="B26" s="5" t="n">
        <f aca="false">SUMIF(Rooms!$C:$C,$A26,Rooms!$D:$D)+SUMIF('F&amp;B'!$C:$C,$A26,'F&amp;B'!$D:$D)+SUMIF('Pools &amp; Spa'!$C:$C,$A26,'Pools &amp; Spa'!$D:$D)+SUMIF('Common Areas'!$C:$C,$A26,'Common Areas'!$D:$D)</f>
        <v>36</v>
      </c>
      <c r="C26" s="5" t="n">
        <f aca="false">SUMIF(Rooms!$C:$C,$A26,Rooms!$E:$E)+SUMIF('F&amp;B'!$C:$C,$A26,'F&amp;B'!$E:$E)+SUMIF('Pools &amp; Spa'!$C:$C,$A26,'Pools &amp; Spa'!$E:$E)+SUMIF('Common Areas'!$C:$C,$A26,'Common Areas'!$E:$E)</f>
        <v>16</v>
      </c>
      <c r="D26" s="5" t="n">
        <f aca="false">SUMIF(Rooms!$C:$C,$A26,Rooms!$F:$F)+SUMIF('F&amp;B'!$C:$C,$A26,'F&amp;B'!$F:$F)+SUMIF('Pools &amp; Spa'!$C:$C,$A26,'Pools &amp; Spa'!$F:$F)+SUMIF('Common Areas'!$C:$C,$A26,'Common Areas'!$F:$F)</f>
        <v>7</v>
      </c>
      <c r="E26" s="5" t="n">
        <f aca="false">SUMIF(Rooms!$C:$C,$A26,Rooms!$G:$G)+SUMIF('F&amp;B'!$C:$C,$A26,'F&amp;B'!$G:$G)+SUMIF('Pools &amp; Spa'!$C:$C,$A26,'Pools &amp; Spa'!$G:$G)+SUMIF('Common Areas'!$C:$C,$A26,'Common Areas'!$G:$G)</f>
        <v>12</v>
      </c>
      <c r="F26" s="6" t="n">
        <f aca="false">SUM(B26:E26)</f>
        <v>71</v>
      </c>
      <c r="G26" s="5" t="n">
        <f aca="false">SUMIF(Rooms!$C:$C,$A26,Rooms!$I:$I)+SUMIF('F&amp;B'!$C:$C,$A26,'F&amp;B'!$I:$I)+SUMIF('Pools &amp; Spa'!$C:$C,$A26,'Pools &amp; Spa'!$I:$I)+SUMIF('Common Areas'!$C:$C,$A26,'Common Areas'!$I:$I)</f>
        <v>79</v>
      </c>
    </row>
    <row r="27" customFormat="false" ht="15" hidden="false" customHeight="false" outlineLevel="0" collapsed="false">
      <c r="A27" s="7" t="s">
        <v>31</v>
      </c>
      <c r="B27" s="5" t="n">
        <f aca="false">SUMIF(Rooms!$C:$C,$A27,Rooms!$D:$D)+SUMIF('F&amp;B'!$C:$C,$A27,'F&amp;B'!$D:$D)+SUMIF('Pools &amp; Spa'!$C:$C,$A27,'Pools &amp; Spa'!$D:$D)+SUMIF('Common Areas'!$C:$C,$A27,'Common Areas'!$D:$D)</f>
        <v>54</v>
      </c>
      <c r="C27" s="5" t="n">
        <f aca="false">SUMIF(Rooms!$C:$C,$A27,Rooms!$E:$E)+SUMIF('F&amp;B'!$C:$C,$A27,'F&amp;B'!$E:$E)+SUMIF('Pools &amp; Spa'!$C:$C,$A27,'Pools &amp; Spa'!$E:$E)+SUMIF('Common Areas'!$C:$C,$A27,'Common Areas'!$E:$E)</f>
        <v>30</v>
      </c>
      <c r="D27" s="5" t="n">
        <f aca="false">SUMIF(Rooms!$C:$C,$A27,Rooms!$F:$F)+SUMIF('F&amp;B'!$C:$C,$A27,'F&amp;B'!$F:$F)+SUMIF('Pools &amp; Spa'!$C:$C,$A27,'Pools &amp; Spa'!$F:$F)+SUMIF('Common Areas'!$C:$C,$A27,'Common Areas'!$F:$F)</f>
        <v>22</v>
      </c>
      <c r="E27" s="5" t="n">
        <f aca="false">SUMIF(Rooms!$C:$C,$A27,Rooms!$G:$G)+SUMIF('F&amp;B'!$C:$C,$A27,'F&amp;B'!$G:$G)+SUMIF('Pools &amp; Spa'!$C:$C,$A27,'Pools &amp; Spa'!$G:$G)+SUMIF('Common Areas'!$C:$C,$A27,'Common Areas'!$G:$G)</f>
        <v>24</v>
      </c>
      <c r="F27" s="6" t="n">
        <f aca="false">SUM(B27:E27)</f>
        <v>130</v>
      </c>
      <c r="G27" s="5" t="n">
        <f aca="false">SUMIF(Rooms!$C:$C,$A27,Rooms!$I:$I)+SUMIF('F&amp;B'!$C:$C,$A27,'F&amp;B'!$I:$I)+SUMIF('Pools &amp; Spa'!$C:$C,$A27,'Pools &amp; Spa'!$I:$I)+SUMIF('Common Areas'!$C:$C,$A27,'Common Areas'!$I:$I)</f>
        <v>144</v>
      </c>
    </row>
    <row r="28" customFormat="false" ht="15" hidden="false" customHeight="false" outlineLevel="0" collapsed="false">
      <c r="A28" s="7" t="s">
        <v>32</v>
      </c>
      <c r="B28" s="5" t="n">
        <f aca="false">SUMIF(Rooms!$C:$C,$A28,Rooms!$D:$D)+SUMIF('F&amp;B'!$C:$C,$A28,'F&amp;B'!$D:$D)+SUMIF('Pools &amp; Spa'!$C:$C,$A28,'Pools &amp; Spa'!$D:$D)+SUMIF('Common Areas'!$C:$C,$A28,'Common Areas'!$D:$D)</f>
        <v>3</v>
      </c>
      <c r="C28" s="5" t="n">
        <f aca="false">SUMIF(Rooms!$C:$C,$A28,Rooms!$E:$E)+SUMIF('F&amp;B'!$C:$C,$A28,'F&amp;B'!$E:$E)+SUMIF('Pools &amp; Spa'!$C:$C,$A28,'Pools &amp; Spa'!$E:$E)+SUMIF('Common Areas'!$C:$C,$A28,'Common Areas'!$E:$E)</f>
        <v>0</v>
      </c>
      <c r="D28" s="5" t="n">
        <f aca="false">SUMIF(Rooms!$C:$C,$A28,Rooms!$F:$F)+SUMIF('F&amp;B'!$C:$C,$A28,'F&amp;B'!$F:$F)+SUMIF('Pools &amp; Spa'!$C:$C,$A28,'Pools &amp; Spa'!$F:$F)+SUMIF('Common Areas'!$C:$C,$A28,'Common Areas'!$F:$F)</f>
        <v>12</v>
      </c>
      <c r="E28" s="5" t="n">
        <f aca="false">SUMIF(Rooms!$C:$C,$A28,Rooms!$G:$G)+SUMIF('F&amp;B'!$C:$C,$A28,'F&amp;B'!$G:$G)+SUMIF('Pools &amp; Spa'!$C:$C,$A28,'Pools &amp; Spa'!$G:$G)+SUMIF('Common Areas'!$C:$C,$A28,'Common Areas'!$G:$G)</f>
        <v>0</v>
      </c>
      <c r="F28" s="6" t="n">
        <f aca="false">SUM(B28:E28)</f>
        <v>15</v>
      </c>
      <c r="G28" s="5" t="n">
        <f aca="false">SUMIF(Rooms!$C:$C,$A28,Rooms!$I:$I)+SUMIF('F&amp;B'!$C:$C,$A28,'F&amp;B'!$I:$I)+SUMIF('Pools &amp; Spa'!$C:$C,$A28,'Pools &amp; Spa'!$I:$I)+SUMIF('Common Areas'!$C:$C,$A28,'Common Areas'!$I:$I)</f>
        <v>19</v>
      </c>
    </row>
    <row r="29" customFormat="false" ht="15" hidden="false" customHeight="false" outlineLevel="0" collapsed="false">
      <c r="A29" s="7" t="s">
        <v>33</v>
      </c>
      <c r="B29" s="5" t="n">
        <f aca="false">SUMIF(Rooms!$C:$C,$A29,Rooms!$D:$D)+SUMIF('F&amp;B'!$C:$C,$A29,'F&amp;B'!$D:$D)+SUMIF('Pools &amp; Spa'!$C:$C,$A29,'Pools &amp; Spa'!$D:$D)+SUMIF('Common Areas'!$C:$C,$A29,'Common Areas'!$D:$D)</f>
        <v>14</v>
      </c>
      <c r="C29" s="5" t="n">
        <f aca="false">SUMIF(Rooms!$C:$C,$A29,Rooms!$E:$E)+SUMIF('F&amp;B'!$C:$C,$A29,'F&amp;B'!$E:$E)+SUMIF('Pools &amp; Spa'!$C:$C,$A29,'Pools &amp; Spa'!$E:$E)+SUMIF('Common Areas'!$C:$C,$A29,'Common Areas'!$E:$E)</f>
        <v>6</v>
      </c>
      <c r="D29" s="5" t="n">
        <f aca="false">SUMIF(Rooms!$C:$C,$A29,Rooms!$F:$F)+SUMIF('F&amp;B'!$C:$C,$A29,'F&amp;B'!$F:$F)+SUMIF('Pools &amp; Spa'!$C:$C,$A29,'Pools &amp; Spa'!$F:$F)+SUMIF('Common Areas'!$C:$C,$A29,'Common Areas'!$F:$F)</f>
        <v>6</v>
      </c>
      <c r="E29" s="5" t="n">
        <f aca="false">SUMIF(Rooms!$C:$C,$A29,Rooms!$G:$G)+SUMIF('F&amp;B'!$C:$C,$A29,'F&amp;B'!$G:$G)+SUMIF('Pools &amp; Spa'!$C:$C,$A29,'Pools &amp; Spa'!$G:$G)+SUMIF('Common Areas'!$C:$C,$A29,'Common Areas'!$G:$G)</f>
        <v>6</v>
      </c>
      <c r="F29" s="6" t="n">
        <f aca="false">SUM(B29:E29)</f>
        <v>32</v>
      </c>
      <c r="G29" s="5" t="n">
        <f aca="false">SUMIF(Rooms!$C:$C,$A29,Rooms!$I:$I)+SUMIF('F&amp;B'!$C:$C,$A29,'F&amp;B'!$I:$I)+SUMIF('Pools &amp; Spa'!$C:$C,$A29,'Pools &amp; Spa'!$I:$I)+SUMIF('Common Areas'!$C:$C,$A29,'Common Areas'!$I:$I)</f>
        <v>36</v>
      </c>
    </row>
    <row r="30" customFormat="false" ht="15" hidden="false" customHeight="false" outlineLevel="0" collapsed="false">
      <c r="A30" s="7" t="s">
        <v>34</v>
      </c>
      <c r="B30" s="5" t="n">
        <f aca="false">SUMIF(Rooms!$C:$C,$A30,Rooms!$D:$D)+SUMIF('F&amp;B'!$C:$C,$A30,'F&amp;B'!$D:$D)+SUMIF('Pools &amp; Spa'!$C:$C,$A30,'Pools &amp; Spa'!$D:$D)+SUMIF('Common Areas'!$C:$C,$A30,'Common Areas'!$D:$D)</f>
        <v>86</v>
      </c>
      <c r="C30" s="5" t="n">
        <f aca="false">SUMIF(Rooms!$C:$C,$A30,Rooms!$E:$E)+SUMIF('F&amp;B'!$C:$C,$A30,'F&amp;B'!$E:$E)+SUMIF('Pools &amp; Spa'!$C:$C,$A30,'Pools &amp; Spa'!$E:$E)+SUMIF('Common Areas'!$C:$C,$A30,'Common Areas'!$E:$E)</f>
        <v>62</v>
      </c>
      <c r="D30" s="5" t="n">
        <f aca="false">SUMIF(Rooms!$C:$C,$A30,Rooms!$F:$F)+SUMIF('F&amp;B'!$C:$C,$A30,'F&amp;B'!$F:$F)+SUMIF('Pools &amp; Spa'!$C:$C,$A30,'Pools &amp; Spa'!$F:$F)+SUMIF('Common Areas'!$C:$C,$A30,'Common Areas'!$F:$F)</f>
        <v>33</v>
      </c>
      <c r="E30" s="5" t="n">
        <f aca="false">SUMIF(Rooms!$C:$C,$A30,Rooms!$G:$G)+SUMIF('F&amp;B'!$C:$C,$A30,'F&amp;B'!$G:$G)+SUMIF('Pools &amp; Spa'!$C:$C,$A30,'Pools &amp; Spa'!$G:$G)+SUMIF('Common Areas'!$C:$C,$A30,'Common Areas'!$G:$G)</f>
        <v>41</v>
      </c>
      <c r="F30" s="6" t="n">
        <f aca="false">SUM(B30:E30)</f>
        <v>222</v>
      </c>
      <c r="G30" s="5" t="n">
        <f aca="false">SUMIF(Rooms!$C:$C,$A30,Rooms!$I:$I)+SUMIF('F&amp;B'!$C:$C,$A30,'F&amp;B'!$I:$I)+SUMIF('Pools &amp; Spa'!$C:$C,$A30,'Pools &amp; Spa'!$I:$I)+SUMIF('Common Areas'!$C:$C,$A30,'Common Areas'!$I:$I)</f>
        <v>248</v>
      </c>
    </row>
    <row r="31" customFormat="false" ht="15" hidden="false" customHeight="false" outlineLevel="0" collapsed="false">
      <c r="A31" s="7" t="s">
        <v>35</v>
      </c>
      <c r="B31" s="5" t="n">
        <f aca="false">SUMIF(Rooms!$C:$C,$A31,Rooms!$D:$D)+SUMIF('F&amp;B'!$C:$C,$A31,'F&amp;B'!$D:$D)+SUMIF('Pools &amp; Spa'!$C:$C,$A31,'Pools &amp; Spa'!$D:$D)+SUMIF('Common Areas'!$C:$C,$A31,'Common Areas'!$D:$D)</f>
        <v>7</v>
      </c>
      <c r="C31" s="5" t="n">
        <f aca="false">SUMIF(Rooms!$C:$C,$A31,Rooms!$E:$E)+SUMIF('F&amp;B'!$C:$C,$A31,'F&amp;B'!$E:$E)+SUMIF('Pools &amp; Spa'!$C:$C,$A31,'Pools &amp; Spa'!$E:$E)+SUMIF('Common Areas'!$C:$C,$A31,'Common Areas'!$E:$E)</f>
        <v>6</v>
      </c>
      <c r="D31" s="5" t="n">
        <f aca="false">SUMIF(Rooms!$C:$C,$A31,Rooms!$F:$F)+SUMIF('F&amp;B'!$C:$C,$A31,'F&amp;B'!$F:$F)+SUMIF('Pools &amp; Spa'!$C:$C,$A31,'Pools &amp; Spa'!$F:$F)+SUMIF('Common Areas'!$C:$C,$A31,'Common Areas'!$F:$F)</f>
        <v>3</v>
      </c>
      <c r="E31" s="5" t="n">
        <f aca="false">SUMIF(Rooms!$C:$C,$A31,Rooms!$G:$G)+SUMIF('F&amp;B'!$C:$C,$A31,'F&amp;B'!$G:$G)+SUMIF('Pools &amp; Spa'!$C:$C,$A31,'Pools &amp; Spa'!$G:$G)+SUMIF('Common Areas'!$C:$C,$A31,'Common Areas'!$G:$G)</f>
        <v>3</v>
      </c>
      <c r="F31" s="6" t="n">
        <f aca="false">SUM(B31:E31)</f>
        <v>19</v>
      </c>
      <c r="G31" s="5" t="n">
        <f aca="false">SUMIF(Rooms!$C:$C,$A31,Rooms!$I:$I)+SUMIF('F&amp;B'!$C:$C,$A31,'F&amp;B'!$I:$I)+SUMIF('Pools &amp; Spa'!$C:$C,$A31,'Pools &amp; Spa'!$I:$I)+SUMIF('Common Areas'!$C:$C,$A31,'Common Areas'!$I:$I)</f>
        <v>22</v>
      </c>
    </row>
    <row r="32" customFormat="false" ht="15" hidden="false" customHeight="false" outlineLevel="0" collapsed="false">
      <c r="A32" s="7" t="s">
        <v>36</v>
      </c>
      <c r="B32" s="5" t="n">
        <f aca="false">SUMIF(Rooms!$C:$C,$A32,Rooms!$D:$D)+SUMIF('F&amp;B'!$C:$C,$A32,'F&amp;B'!$D:$D)+SUMIF('Pools &amp; Spa'!$C:$C,$A32,'Pools &amp; Spa'!$D:$D)+SUMIF('Common Areas'!$C:$C,$A32,'Common Areas'!$D:$D)</f>
        <v>78</v>
      </c>
      <c r="C32" s="5" t="n">
        <f aca="false">SUMIF(Rooms!$C:$C,$A32,Rooms!$E:$E)+SUMIF('F&amp;B'!$C:$C,$A32,'F&amp;B'!$E:$E)+SUMIF('Pools &amp; Spa'!$C:$C,$A32,'Pools &amp; Spa'!$E:$E)+SUMIF('Common Areas'!$C:$C,$A32,'Common Areas'!$E:$E)</f>
        <v>38</v>
      </c>
      <c r="D32" s="5" t="n">
        <f aca="false">SUMIF(Rooms!$C:$C,$A32,Rooms!$F:$F)+SUMIF('F&amp;B'!$C:$C,$A32,'F&amp;B'!$F:$F)+SUMIF('Pools &amp; Spa'!$C:$C,$A32,'Pools &amp; Spa'!$F:$F)+SUMIF('Common Areas'!$C:$C,$A32,'Common Areas'!$F:$F)</f>
        <v>15</v>
      </c>
      <c r="E32" s="5" t="n">
        <f aca="false">SUMIF(Rooms!$C:$C,$A32,Rooms!$G:$G)+SUMIF('F&amp;B'!$C:$C,$A32,'F&amp;B'!$G:$G)+SUMIF('Pools &amp; Spa'!$C:$C,$A32,'Pools &amp; Spa'!$G:$G)+SUMIF('Common Areas'!$C:$C,$A32,'Common Areas'!$G:$G)</f>
        <v>19</v>
      </c>
      <c r="F32" s="6" t="n">
        <f aca="false">SUM(B32:E32)</f>
        <v>150</v>
      </c>
      <c r="G32" s="5" t="n">
        <f aca="false">SUMIF(Rooms!$C:$C,$A32,Rooms!$I:$I)+SUMIF('F&amp;B'!$C:$C,$A32,'F&amp;B'!$I:$I)+SUMIF('Pools &amp; Spa'!$C:$C,$A32,'Pools &amp; Spa'!$I:$I)+SUMIF('Common Areas'!$C:$C,$A32,'Common Areas'!$I:$I)</f>
        <v>167</v>
      </c>
    </row>
    <row r="33" customFormat="false" ht="15" hidden="false" customHeight="false" outlineLevel="0" collapsed="false">
      <c r="A33" s="7" t="s">
        <v>37</v>
      </c>
      <c r="B33" s="5" t="n">
        <f aca="false">SUMIF(Rooms!$C:$C,$A33,Rooms!$D:$D)+SUMIF('F&amp;B'!$C:$C,$A33,'F&amp;B'!$D:$D)+SUMIF('Pools &amp; Spa'!$C:$C,$A33,'Pools &amp; Spa'!$D:$D)+SUMIF('Common Areas'!$C:$C,$A33,'Common Areas'!$D:$D)</f>
        <v>19</v>
      </c>
      <c r="C33" s="5" t="n">
        <f aca="false">SUMIF(Rooms!$C:$C,$A33,Rooms!$E:$E)+SUMIF('F&amp;B'!$C:$C,$A33,'F&amp;B'!$E:$E)+SUMIF('Pools &amp; Spa'!$C:$C,$A33,'Pools &amp; Spa'!$E:$E)+SUMIF('Common Areas'!$C:$C,$A33,'Common Areas'!$E:$E)</f>
        <v>26</v>
      </c>
      <c r="D33" s="5" t="n">
        <f aca="false">SUMIF(Rooms!$C:$C,$A33,Rooms!$F:$F)+SUMIF('F&amp;B'!$C:$C,$A33,'F&amp;B'!$F:$F)+SUMIF('Pools &amp; Spa'!$C:$C,$A33,'Pools &amp; Spa'!$F:$F)+SUMIF('Common Areas'!$C:$C,$A33,'Common Areas'!$F:$F)</f>
        <v>16</v>
      </c>
      <c r="E33" s="5" t="n">
        <f aca="false">SUMIF(Rooms!$C:$C,$A33,Rooms!$G:$G)+SUMIF('F&amp;B'!$C:$C,$A33,'F&amp;B'!$G:$G)+SUMIF('Pools &amp; Spa'!$C:$C,$A33,'Pools &amp; Spa'!$G:$G)+SUMIF('Common Areas'!$C:$C,$A33,'Common Areas'!$G:$G)</f>
        <v>16</v>
      </c>
      <c r="F33" s="6" t="n">
        <f aca="false">SUM(B33:E33)</f>
        <v>77</v>
      </c>
      <c r="G33" s="5" t="n">
        <f aca="false">SUMIF(Rooms!$C:$C,$A33,Rooms!$I:$I)+SUMIF('F&amp;B'!$C:$C,$A33,'F&amp;B'!$I:$I)+SUMIF('Pools &amp; Spa'!$C:$C,$A33,'Pools &amp; Spa'!$I:$I)+SUMIF('Common Areas'!$C:$C,$A33,'Common Areas'!$I:$I)</f>
        <v>86</v>
      </c>
    </row>
    <row r="34" customFormat="false" ht="15" hidden="false" customHeight="false" outlineLevel="0" collapsed="false">
      <c r="A34" s="7" t="s">
        <v>38</v>
      </c>
      <c r="B34" s="5" t="n">
        <f aca="false">SUMIF(Rooms!$C:$C,$A34,Rooms!$D:$D)+SUMIF('F&amp;B'!$C:$C,$A34,'F&amp;B'!$D:$D)+SUMIF('Pools &amp; Spa'!$C:$C,$A34,'Pools &amp; Spa'!$D:$D)+SUMIF('Common Areas'!$C:$C,$A34,'Common Areas'!$D:$D)</f>
        <v>42</v>
      </c>
      <c r="C34" s="5" t="n">
        <f aca="false">SUMIF(Rooms!$C:$C,$A34,Rooms!$E:$E)+SUMIF('F&amp;B'!$C:$C,$A34,'F&amp;B'!$E:$E)+SUMIF('Pools &amp; Spa'!$C:$C,$A34,'Pools &amp; Spa'!$E:$E)+SUMIF('Common Areas'!$C:$C,$A34,'Common Areas'!$E:$E)</f>
        <v>54</v>
      </c>
      <c r="D34" s="5" t="n">
        <f aca="false">SUMIF(Rooms!$C:$C,$A34,Rooms!$F:$F)+SUMIF('F&amp;B'!$C:$C,$A34,'F&amp;B'!$F:$F)+SUMIF('Pools &amp; Spa'!$C:$C,$A34,'Pools &amp; Spa'!$F:$F)+SUMIF('Common Areas'!$C:$C,$A34,'Common Areas'!$F:$F)</f>
        <v>36</v>
      </c>
      <c r="E34" s="5" t="n">
        <f aca="false">SUMIF(Rooms!$C:$C,$A34,Rooms!$G:$G)+SUMIF('F&amp;B'!$C:$C,$A34,'F&amp;B'!$G:$G)+SUMIF('Pools &amp; Spa'!$C:$C,$A34,'Pools &amp; Spa'!$G:$G)+SUMIF('Common Areas'!$C:$C,$A34,'Common Areas'!$G:$G)</f>
        <v>36</v>
      </c>
      <c r="F34" s="6" t="n">
        <f aca="false">SUM(B34:E34)</f>
        <v>168</v>
      </c>
      <c r="G34" s="5" t="n">
        <f aca="false">SUMIF(Rooms!$C:$C,$A34,Rooms!$I:$I)+SUMIF('F&amp;B'!$C:$C,$A34,'F&amp;B'!$I:$I)+SUMIF('Pools &amp; Spa'!$C:$C,$A34,'Pools &amp; Spa'!$I:$I)+SUMIF('Common Areas'!$C:$C,$A34,'Common Areas'!$I:$I)</f>
        <v>185</v>
      </c>
    </row>
    <row r="35" customFormat="false" ht="15" hidden="false" customHeight="false" outlineLevel="0" collapsed="false">
      <c r="A35" s="7" t="s">
        <v>39</v>
      </c>
      <c r="B35" s="5" t="n">
        <f aca="false">SUMIF(Rooms!$C:$C,$A35,Rooms!$D:$D)+SUMIF('F&amp;B'!$C:$C,$A35,'F&amp;B'!$D:$D)+SUMIF('Pools &amp; Spa'!$C:$C,$A35,'Pools &amp; Spa'!$D:$D)+SUMIF('Common Areas'!$C:$C,$A35,'Common Areas'!$D:$D)</f>
        <v>80</v>
      </c>
      <c r="C35" s="5" t="n">
        <f aca="false">SUMIF(Rooms!$C:$C,$A35,Rooms!$E:$E)+SUMIF('F&amp;B'!$C:$C,$A35,'F&amp;B'!$E:$E)+SUMIF('Pools &amp; Spa'!$C:$C,$A35,'Pools &amp; Spa'!$E:$E)+SUMIF('Common Areas'!$C:$C,$A35,'Common Areas'!$E:$E)</f>
        <v>31</v>
      </c>
      <c r="D35" s="5" t="n">
        <f aca="false">SUMIF(Rooms!$C:$C,$A35,Rooms!$F:$F)+SUMIF('F&amp;B'!$C:$C,$A35,'F&amp;B'!$F:$F)+SUMIF('Pools &amp; Spa'!$C:$C,$A35,'Pools &amp; Spa'!$F:$F)+SUMIF('Common Areas'!$C:$C,$A35,'Common Areas'!$F:$F)</f>
        <v>24</v>
      </c>
      <c r="E35" s="5" t="n">
        <f aca="false">SUMIF(Rooms!$C:$C,$A35,Rooms!$G:$G)+SUMIF('F&amp;B'!$C:$C,$A35,'F&amp;B'!$G:$G)+SUMIF('Pools &amp; Spa'!$C:$C,$A35,'Pools &amp; Spa'!$G:$G)+SUMIF('Common Areas'!$C:$C,$A35,'Common Areas'!$G:$G)</f>
        <v>24</v>
      </c>
      <c r="F35" s="6" t="n">
        <f aca="false">SUM(B35:E35)</f>
        <v>159</v>
      </c>
      <c r="G35" s="5" t="n">
        <f aca="false">SUMIF(Rooms!$C:$C,$A35,Rooms!$I:$I)+SUMIF('F&amp;B'!$C:$C,$A35,'F&amp;B'!$I:$I)+SUMIF('Pools &amp; Spa'!$C:$C,$A35,'Pools &amp; Spa'!$I:$I)+SUMIF('Common Areas'!$C:$C,$A35,'Common Areas'!$I:$I)</f>
        <v>176</v>
      </c>
    </row>
    <row r="36" customFormat="false" ht="15" hidden="false" customHeight="false" outlineLevel="0" collapsed="false">
      <c r="A36" s="7" t="s">
        <v>40</v>
      </c>
      <c r="B36" s="5" t="n">
        <f aca="false">SUMIF(Rooms!$C:$C,$A36,Rooms!$D:$D)+SUMIF('F&amp;B'!$C:$C,$A36,'F&amp;B'!$D:$D)+SUMIF('Pools &amp; Spa'!$C:$C,$A36,'Pools &amp; Spa'!$D:$D)+SUMIF('Common Areas'!$C:$C,$A36,'Common Areas'!$D:$D)</f>
        <v>6</v>
      </c>
      <c r="C36" s="5" t="n">
        <f aca="false">SUMIF(Rooms!$C:$C,$A36,Rooms!$E:$E)+SUMIF('F&amp;B'!$C:$C,$A36,'F&amp;B'!$E:$E)+SUMIF('Pools &amp; Spa'!$C:$C,$A36,'Pools &amp; Spa'!$E:$E)+SUMIF('Common Areas'!$C:$C,$A36,'Common Areas'!$E:$E)</f>
        <v>0</v>
      </c>
      <c r="D36" s="5" t="n">
        <f aca="false">SUMIF(Rooms!$C:$C,$A36,Rooms!$F:$F)+SUMIF('F&amp;B'!$C:$C,$A36,'F&amp;B'!$F:$F)+SUMIF('Pools &amp; Spa'!$C:$C,$A36,'Pools &amp; Spa'!$F:$F)+SUMIF('Common Areas'!$C:$C,$A36,'Common Areas'!$F:$F)</f>
        <v>0</v>
      </c>
      <c r="E36" s="5" t="n">
        <f aca="false">SUMIF(Rooms!$C:$C,$A36,Rooms!$G:$G)+SUMIF('F&amp;B'!$C:$C,$A36,'F&amp;B'!$G:$G)+SUMIF('Pools &amp; Spa'!$C:$C,$A36,'Pools &amp; Spa'!$G:$G)+SUMIF('Common Areas'!$C:$C,$A36,'Common Areas'!$G:$G)</f>
        <v>0</v>
      </c>
      <c r="F36" s="6" t="n">
        <f aca="false">SUM(B36:E36)</f>
        <v>6</v>
      </c>
      <c r="G36" s="5" t="n">
        <f aca="false">SUMIF(Rooms!$C:$C,$A36,Rooms!$I:$I)+SUMIF('F&amp;B'!$C:$C,$A36,'F&amp;B'!$I:$I)+SUMIF('Pools &amp; Spa'!$C:$C,$A36,'Pools &amp; Spa'!$I:$I)+SUMIF('Common Areas'!$C:$C,$A36,'Common Areas'!$I:$I)</f>
        <v>7</v>
      </c>
    </row>
    <row r="37" customFormat="false" ht="15" hidden="false" customHeight="false" outlineLevel="0" collapsed="false">
      <c r="A37" s="7" t="s">
        <v>41</v>
      </c>
      <c r="B37" s="5" t="n">
        <f aca="false">SUMIF(Rooms!$C:$C,$A37,Rooms!$D:$D)+SUMIF('F&amp;B'!$C:$C,$A37,'F&amp;B'!$D:$D)+SUMIF('Pools &amp; Spa'!$C:$C,$A37,'Pools &amp; Spa'!$D:$D)+SUMIF('Common Areas'!$C:$C,$A37,'Common Areas'!$D:$D)</f>
        <v>40</v>
      </c>
      <c r="C37" s="5" t="n">
        <f aca="false">SUMIF(Rooms!$C:$C,$A37,Rooms!$E:$E)+SUMIF('F&amp;B'!$C:$C,$A37,'F&amp;B'!$E:$E)+SUMIF('Pools &amp; Spa'!$C:$C,$A37,'Pools &amp; Spa'!$E:$E)+SUMIF('Common Areas'!$C:$C,$A37,'Common Areas'!$E:$E)</f>
        <v>0</v>
      </c>
      <c r="D37" s="5" t="n">
        <f aca="false">SUMIF(Rooms!$C:$C,$A37,Rooms!$F:$F)+SUMIF('F&amp;B'!$C:$C,$A37,'F&amp;B'!$F:$F)+SUMIF('Pools &amp; Spa'!$C:$C,$A37,'Pools &amp; Spa'!$F:$F)+SUMIF('Common Areas'!$C:$C,$A37,'Common Areas'!$F:$F)</f>
        <v>0</v>
      </c>
      <c r="E37" s="5" t="n">
        <f aca="false">SUMIF(Rooms!$C:$C,$A37,Rooms!$G:$G)+SUMIF('F&amp;B'!$C:$C,$A37,'F&amp;B'!$G:$G)+SUMIF('Pools &amp; Spa'!$C:$C,$A37,'Pools &amp; Spa'!$G:$G)+SUMIF('Common Areas'!$C:$C,$A37,'Common Areas'!$G:$G)</f>
        <v>0</v>
      </c>
      <c r="F37" s="6" t="n">
        <f aca="false">SUM(B37:E37)</f>
        <v>40</v>
      </c>
      <c r="G37" s="5" t="n">
        <f aca="false">SUMIF(Rooms!$C:$C,$A37,Rooms!$I:$I)+SUMIF('F&amp;B'!$C:$C,$A37,'F&amp;B'!$I:$I)+SUMIF('Pools &amp; Spa'!$C:$C,$A37,'Pools &amp; Spa'!$I:$I)+SUMIF('Common Areas'!$C:$C,$A37,'Common Areas'!$I:$I)</f>
        <v>44</v>
      </c>
    </row>
    <row r="38" customFormat="false" ht="15" hidden="false" customHeight="false" outlineLevel="0" collapsed="false">
      <c r="A38" s="7" t="s">
        <v>42</v>
      </c>
      <c r="B38" s="5" t="n">
        <f aca="false">SUMIF(Rooms!$C:$C,$A38,Rooms!$D:$D)+SUMIF('F&amp;B'!$C:$C,$A38,'F&amp;B'!$D:$D)+SUMIF('Pools &amp; Spa'!$C:$C,$A38,'Pools &amp; Spa'!$D:$D)+SUMIF('Common Areas'!$C:$C,$A38,'Common Areas'!$D:$D)</f>
        <v>1</v>
      </c>
      <c r="C38" s="5" t="n">
        <f aca="false">SUMIF(Rooms!$C:$C,$A38,Rooms!$E:$E)+SUMIF('F&amp;B'!$C:$C,$A38,'F&amp;B'!$E:$E)+SUMIF('Pools &amp; Spa'!$C:$C,$A38,'Pools &amp; Spa'!$E:$E)+SUMIF('Common Areas'!$C:$C,$A38,'Common Areas'!$E:$E)</f>
        <v>1</v>
      </c>
      <c r="D38" s="5" t="n">
        <f aca="false">SUMIF(Rooms!$C:$C,$A38,Rooms!$F:$F)+SUMIF('F&amp;B'!$C:$C,$A38,'F&amp;B'!$F:$F)+SUMIF('Pools &amp; Spa'!$C:$C,$A38,'Pools &amp; Spa'!$F:$F)+SUMIF('Common Areas'!$C:$C,$A38,'Common Areas'!$F:$F)</f>
        <v>1</v>
      </c>
      <c r="E38" s="5" t="n">
        <f aca="false">SUMIF(Rooms!$C:$C,$A38,Rooms!$G:$G)+SUMIF('F&amp;B'!$C:$C,$A38,'F&amp;B'!$G:$G)+SUMIF('Pools &amp; Spa'!$C:$C,$A38,'Pools &amp; Spa'!$G:$G)+SUMIF('Common Areas'!$C:$C,$A38,'Common Areas'!$G:$G)</f>
        <v>1</v>
      </c>
      <c r="F38" s="6" t="n">
        <f aca="false">SUM(B38:E38)</f>
        <v>4</v>
      </c>
      <c r="G38" s="5" t="n">
        <f aca="false">SUMIF(Rooms!$C:$C,$A38,Rooms!$I:$I)+SUMIF('F&amp;B'!$C:$C,$A38,'F&amp;B'!$I:$I)+SUMIF('Pools &amp; Spa'!$C:$C,$A38,'Pools &amp; Spa'!$I:$I)+SUMIF('Common Areas'!$C:$C,$A38,'Common Areas'!$I:$I)</f>
        <v>5</v>
      </c>
    </row>
    <row r="39" customFormat="false" ht="15" hidden="false" customHeight="false" outlineLevel="0" collapsed="false">
      <c r="A39" s="7" t="s">
        <v>43</v>
      </c>
      <c r="B39" s="5" t="n">
        <f aca="false">SUMIF(Rooms!$C:$C,$A39,Rooms!$D:$D)+SUMIF('F&amp;B'!$C:$C,$A39,'F&amp;B'!$D:$D)+SUMIF('Pools &amp; Spa'!$C:$C,$A39,'Pools &amp; Spa'!$D:$D)+SUMIF('Common Areas'!$C:$C,$A39,'Common Areas'!$D:$D)</f>
        <v>29</v>
      </c>
      <c r="C39" s="5" t="n">
        <f aca="false">SUMIF(Rooms!$C:$C,$A39,Rooms!$E:$E)+SUMIF('F&amp;B'!$C:$C,$A39,'F&amp;B'!$E:$E)+SUMIF('Pools &amp; Spa'!$C:$C,$A39,'Pools &amp; Spa'!$E:$E)+SUMIF('Common Areas'!$C:$C,$A39,'Common Areas'!$E:$E)</f>
        <v>38</v>
      </c>
      <c r="D39" s="5" t="n">
        <f aca="false">SUMIF(Rooms!$C:$C,$A39,Rooms!$F:$F)+SUMIF('F&amp;B'!$C:$C,$A39,'F&amp;B'!$F:$F)+SUMIF('Pools &amp; Spa'!$C:$C,$A39,'Pools &amp; Spa'!$F:$F)+SUMIF('Common Areas'!$C:$C,$A39,'Common Areas'!$F:$F)</f>
        <v>25</v>
      </c>
      <c r="E39" s="5" t="n">
        <f aca="false">SUMIF(Rooms!$C:$C,$A39,Rooms!$G:$G)+SUMIF('F&amp;B'!$C:$C,$A39,'F&amp;B'!$G:$G)+SUMIF('Pools &amp; Spa'!$C:$C,$A39,'Pools &amp; Spa'!$G:$G)+SUMIF('Common Areas'!$C:$C,$A39,'Common Areas'!$G:$G)</f>
        <v>25</v>
      </c>
      <c r="F39" s="6" t="n">
        <f aca="false">SUM(B39:E39)</f>
        <v>117</v>
      </c>
      <c r="G39" s="5" t="n">
        <f aca="false">SUMIF(Rooms!$C:$C,$A39,Rooms!$I:$I)+SUMIF('F&amp;B'!$C:$C,$A39,'F&amp;B'!$I:$I)+SUMIF('Pools &amp; Spa'!$C:$C,$A39,'Pools &amp; Spa'!$I:$I)+SUMIF('Common Areas'!$C:$C,$A39,'Common Areas'!$I:$I)</f>
        <v>130</v>
      </c>
    </row>
    <row r="40" customFormat="false" ht="15" hidden="false" customHeight="false" outlineLevel="0" collapsed="false">
      <c r="A40" s="7" t="s">
        <v>44</v>
      </c>
      <c r="B40" s="5" t="n">
        <f aca="false">SUMIF(Rooms!$C:$C,$A40,Rooms!$D:$D)+SUMIF('F&amp;B'!$C:$C,$A40,'F&amp;B'!$D:$D)+SUMIF('Pools &amp; Spa'!$C:$C,$A40,'Pools &amp; Spa'!$D:$D)+SUMIF('Common Areas'!$C:$C,$A40,'Common Areas'!$D:$D)</f>
        <v>14</v>
      </c>
      <c r="C40" s="5" t="n">
        <f aca="false">SUMIF(Rooms!$C:$C,$A40,Rooms!$E:$E)+SUMIF('F&amp;B'!$C:$C,$A40,'F&amp;B'!$E:$E)+SUMIF('Pools &amp; Spa'!$C:$C,$A40,'Pools &amp; Spa'!$E:$E)+SUMIF('Common Areas'!$C:$C,$A40,'Common Areas'!$E:$E)</f>
        <v>18</v>
      </c>
      <c r="D40" s="5" t="n">
        <f aca="false">SUMIF(Rooms!$C:$C,$A40,Rooms!$F:$F)+SUMIF('F&amp;B'!$C:$C,$A40,'F&amp;B'!$F:$F)+SUMIF('Pools &amp; Spa'!$C:$C,$A40,'Pools &amp; Spa'!$F:$F)+SUMIF('Common Areas'!$C:$C,$A40,'Common Areas'!$F:$F)</f>
        <v>12</v>
      </c>
      <c r="E40" s="5" t="n">
        <f aca="false">SUMIF(Rooms!$C:$C,$A40,Rooms!$G:$G)+SUMIF('F&amp;B'!$C:$C,$A40,'F&amp;B'!$G:$G)+SUMIF('Pools &amp; Spa'!$C:$C,$A40,'Pools &amp; Spa'!$G:$G)+SUMIF('Common Areas'!$C:$C,$A40,'Common Areas'!$G:$G)</f>
        <v>12</v>
      </c>
      <c r="F40" s="6" t="n">
        <f aca="false">SUM(B40:E40)</f>
        <v>56</v>
      </c>
      <c r="G40" s="5" t="n">
        <f aca="false">SUMIF(Rooms!$C:$C,$A40,Rooms!$I:$I)+SUMIF('F&amp;B'!$C:$C,$A40,'F&amp;B'!$I:$I)+SUMIF('Pools &amp; Spa'!$C:$C,$A40,'Pools &amp; Spa'!$I:$I)+SUMIF('Common Areas'!$C:$C,$A40,'Common Areas'!$I:$I)</f>
        <v>62</v>
      </c>
    </row>
    <row r="41" customFormat="false" ht="15" hidden="false" customHeight="false" outlineLevel="0" collapsed="false">
      <c r="A41" s="7" t="s">
        <v>45</v>
      </c>
      <c r="B41" s="5" t="n">
        <f aca="false">SUMIF(Rooms!$C:$C,$A41,Rooms!$D:$D)+SUMIF('F&amp;B'!$C:$C,$A41,'F&amp;B'!$D:$D)+SUMIF('Pools &amp; Spa'!$C:$C,$A41,'Pools &amp; Spa'!$D:$D)+SUMIF('Common Areas'!$C:$C,$A41,'Common Areas'!$D:$D)</f>
        <v>4</v>
      </c>
      <c r="C41" s="5" t="n">
        <f aca="false">SUMIF(Rooms!$C:$C,$A41,Rooms!$E:$E)+SUMIF('F&amp;B'!$C:$C,$A41,'F&amp;B'!$E:$E)+SUMIF('Pools &amp; Spa'!$C:$C,$A41,'Pools &amp; Spa'!$E:$E)+SUMIF('Common Areas'!$C:$C,$A41,'Common Areas'!$E:$E)</f>
        <v>6</v>
      </c>
      <c r="D41" s="5" t="n">
        <f aca="false">SUMIF(Rooms!$C:$C,$A41,Rooms!$F:$F)+SUMIF('F&amp;B'!$C:$C,$A41,'F&amp;B'!$F:$F)+SUMIF('Pools &amp; Spa'!$C:$C,$A41,'Pools &amp; Spa'!$F:$F)+SUMIF('Common Areas'!$C:$C,$A41,'Common Areas'!$F:$F)</f>
        <v>3</v>
      </c>
      <c r="E41" s="5" t="n">
        <f aca="false">SUMIF(Rooms!$C:$C,$A41,Rooms!$G:$G)+SUMIF('F&amp;B'!$C:$C,$A41,'F&amp;B'!$G:$G)+SUMIF('Pools &amp; Spa'!$C:$C,$A41,'Pools &amp; Spa'!$G:$G)+SUMIF('Common Areas'!$C:$C,$A41,'Common Areas'!$G:$G)</f>
        <v>3</v>
      </c>
      <c r="F41" s="6" t="n">
        <f aca="false">SUM(B41:E41)</f>
        <v>16</v>
      </c>
      <c r="G41" s="5" t="n">
        <f aca="false">SUMIF(Rooms!$C:$C,$A41,Rooms!$I:$I)+SUMIF('F&amp;B'!$C:$C,$A41,'F&amp;B'!$I:$I)+SUMIF('Pools &amp; Spa'!$C:$C,$A41,'Pools &amp; Spa'!$I:$I)+SUMIF('Common Areas'!$C:$C,$A41,'Common Areas'!$I:$I)</f>
        <v>18</v>
      </c>
    </row>
    <row r="42" customFormat="false" ht="15" hidden="false" customHeight="false" outlineLevel="0" collapsed="false">
      <c r="A42" s="7" t="s">
        <v>46</v>
      </c>
      <c r="B42" s="5" t="n">
        <f aca="false">SUMIF(Rooms!$C:$C,$A42,Rooms!$D:$D)+SUMIF('F&amp;B'!$C:$C,$A42,'F&amp;B'!$D:$D)+SUMIF('Pools &amp; Spa'!$C:$C,$A42,'Pools &amp; Spa'!$D:$D)+SUMIF('Common Areas'!$C:$C,$A42,'Common Areas'!$D:$D)</f>
        <v>42</v>
      </c>
      <c r="C42" s="5" t="n">
        <f aca="false">SUMIF(Rooms!$C:$C,$A42,Rooms!$E:$E)+SUMIF('F&amp;B'!$C:$C,$A42,'F&amp;B'!$E:$E)+SUMIF('Pools &amp; Spa'!$C:$C,$A42,'Pools &amp; Spa'!$E:$E)+SUMIF('Common Areas'!$C:$C,$A42,'Common Areas'!$E:$E)</f>
        <v>54</v>
      </c>
      <c r="D42" s="5" t="n">
        <f aca="false">SUMIF(Rooms!$C:$C,$A42,Rooms!$F:$F)+SUMIF('F&amp;B'!$C:$C,$A42,'F&amp;B'!$F:$F)+SUMIF('Pools &amp; Spa'!$C:$C,$A42,'Pools &amp; Spa'!$F:$F)+SUMIF('Common Areas'!$C:$C,$A42,'Common Areas'!$F:$F)</f>
        <v>36</v>
      </c>
      <c r="E42" s="5" t="n">
        <f aca="false">SUMIF(Rooms!$C:$C,$A42,Rooms!$G:$G)+SUMIF('F&amp;B'!$C:$C,$A42,'F&amp;B'!$G:$G)+SUMIF('Pools &amp; Spa'!$C:$C,$A42,'Pools &amp; Spa'!$G:$G)+SUMIF('Common Areas'!$C:$C,$A42,'Common Areas'!$G:$G)</f>
        <v>36</v>
      </c>
      <c r="F42" s="6" t="n">
        <f aca="false">SUM(B42:E42)</f>
        <v>168</v>
      </c>
      <c r="G42" s="5" t="n">
        <f aca="false">SUMIF(Rooms!$C:$C,$A42,Rooms!$I:$I)+SUMIF('F&amp;B'!$C:$C,$A42,'F&amp;B'!$I:$I)+SUMIF('Pools &amp; Spa'!$C:$C,$A42,'Pools &amp; Spa'!$I:$I)+SUMIF('Common Areas'!$C:$C,$A42,'Common Areas'!$I:$I)</f>
        <v>186</v>
      </c>
    </row>
    <row r="43" customFormat="false" ht="15" hidden="false" customHeight="false" outlineLevel="0" collapsed="false">
      <c r="A43" s="7" t="s">
        <v>47</v>
      </c>
      <c r="B43" s="5" t="n">
        <f aca="false">SUMIF(Rooms!$C:$C,$A43,Rooms!$D:$D)+SUMIF('F&amp;B'!$C:$C,$A43,'F&amp;B'!$D:$D)+SUMIF('Pools &amp; Spa'!$C:$C,$A43,'Pools &amp; Spa'!$D:$D)+SUMIF('Common Areas'!$C:$C,$A43,'Common Areas'!$D:$D)</f>
        <v>15</v>
      </c>
      <c r="C43" s="5" t="n">
        <f aca="false">SUMIF(Rooms!$C:$C,$A43,Rooms!$E:$E)+SUMIF('F&amp;B'!$C:$C,$A43,'F&amp;B'!$E:$E)+SUMIF('Pools &amp; Spa'!$C:$C,$A43,'Pools &amp; Spa'!$E:$E)+SUMIF('Common Areas'!$C:$C,$A43,'Common Areas'!$E:$E)</f>
        <v>20</v>
      </c>
      <c r="D43" s="5" t="n">
        <f aca="false">SUMIF(Rooms!$C:$C,$A43,Rooms!$F:$F)+SUMIF('F&amp;B'!$C:$C,$A43,'F&amp;B'!$F:$F)+SUMIF('Pools &amp; Spa'!$C:$C,$A43,'Pools &amp; Spa'!$F:$F)+SUMIF('Common Areas'!$C:$C,$A43,'Common Areas'!$F:$F)</f>
        <v>13</v>
      </c>
      <c r="E43" s="5" t="n">
        <f aca="false">SUMIF(Rooms!$C:$C,$A43,Rooms!$G:$G)+SUMIF('F&amp;B'!$C:$C,$A43,'F&amp;B'!$G:$G)+SUMIF('Pools &amp; Spa'!$C:$C,$A43,'Pools &amp; Spa'!$G:$G)+SUMIF('Common Areas'!$C:$C,$A43,'Common Areas'!$G:$G)</f>
        <v>13</v>
      </c>
      <c r="F43" s="6" t="n">
        <f aca="false">SUM(B43:E43)</f>
        <v>61</v>
      </c>
      <c r="G43" s="5" t="n">
        <f aca="false">SUMIF(Rooms!$C:$C,$A43,Rooms!$I:$I)+SUMIF('F&amp;B'!$C:$C,$A43,'F&amp;B'!$I:$I)+SUMIF('Pools &amp; Spa'!$C:$C,$A43,'Pools &amp; Spa'!$I:$I)+SUMIF('Common Areas'!$C:$C,$A43,'Common Areas'!$I:$I)</f>
        <v>68</v>
      </c>
    </row>
    <row r="44" customFormat="false" ht="15" hidden="false" customHeight="false" outlineLevel="0" collapsed="false">
      <c r="A44" s="7" t="s">
        <v>48</v>
      </c>
      <c r="B44" s="5" t="n">
        <f aca="false">SUMIF(Rooms!$C:$C,$A44,Rooms!$D:$D)+SUMIF('F&amp;B'!$C:$C,$A44,'F&amp;B'!$D:$D)+SUMIF('Pools &amp; Spa'!$C:$C,$A44,'Pools &amp; Spa'!$D:$D)+SUMIF('Common Areas'!$C:$C,$A44,'Common Areas'!$D:$D)</f>
        <v>2</v>
      </c>
      <c r="C44" s="5" t="n">
        <f aca="false">SUMIF(Rooms!$C:$C,$A44,Rooms!$E:$E)+SUMIF('F&amp;B'!$C:$C,$A44,'F&amp;B'!$E:$E)+SUMIF('Pools &amp; Spa'!$C:$C,$A44,'Pools &amp; Spa'!$E:$E)+SUMIF('Common Areas'!$C:$C,$A44,'Common Areas'!$E:$E)</f>
        <v>1</v>
      </c>
      <c r="D44" s="5" t="n">
        <f aca="false">SUMIF(Rooms!$C:$C,$A44,Rooms!$F:$F)+SUMIF('F&amp;B'!$C:$C,$A44,'F&amp;B'!$F:$F)+SUMIF('Pools &amp; Spa'!$C:$C,$A44,'Pools &amp; Spa'!$F:$F)+SUMIF('Common Areas'!$C:$C,$A44,'Common Areas'!$F:$F)</f>
        <v>0</v>
      </c>
      <c r="E44" s="5" t="n">
        <f aca="false">SUMIF(Rooms!$C:$C,$A44,Rooms!$G:$G)+SUMIF('F&amp;B'!$C:$C,$A44,'F&amp;B'!$G:$G)+SUMIF('Pools &amp; Spa'!$C:$C,$A44,'Pools &amp; Spa'!$G:$G)+SUMIF('Common Areas'!$C:$C,$A44,'Common Areas'!$G:$G)</f>
        <v>0</v>
      </c>
      <c r="F44" s="6" t="n">
        <f aca="false">SUM(B44:E44)</f>
        <v>3</v>
      </c>
      <c r="G44" s="5" t="n">
        <f aca="false">SUMIF(Rooms!$C:$C,$A44,Rooms!$I:$I)+SUMIF('F&amp;B'!$C:$C,$A44,'F&amp;B'!$I:$I)+SUMIF('Pools &amp; Spa'!$C:$C,$A44,'Pools &amp; Spa'!$I:$I)+SUMIF('Common Areas'!$C:$C,$A44,'Common Areas'!$I:$I)</f>
        <v>4</v>
      </c>
    </row>
    <row r="45" customFormat="false" ht="15" hidden="false" customHeight="false" outlineLevel="0" collapsed="false">
      <c r="A45" s="7" t="s">
        <v>49</v>
      </c>
      <c r="B45" s="5" t="n">
        <f aca="false">SUMIF(Rooms!$C:$C,$A45,Rooms!$D:$D)+SUMIF('F&amp;B'!$C:$C,$A45,'F&amp;B'!$D:$D)+SUMIF('Pools &amp; Spa'!$C:$C,$A45,'Pools &amp; Spa'!$D:$D)+SUMIF('Common Areas'!$C:$C,$A45,'Common Areas'!$D:$D)</f>
        <v>0</v>
      </c>
      <c r="C45" s="5" t="n">
        <f aca="false">SUMIF(Rooms!$C:$C,$A45,Rooms!$E:$E)+SUMIF('F&amp;B'!$C:$C,$A45,'F&amp;B'!$E:$E)+SUMIF('Pools &amp; Spa'!$C:$C,$A45,'Pools &amp; Spa'!$E:$E)+SUMIF('Common Areas'!$C:$C,$A45,'Common Areas'!$E:$E)</f>
        <v>12</v>
      </c>
      <c r="D45" s="5" t="n">
        <f aca="false">SUMIF(Rooms!$C:$C,$A45,Rooms!$F:$F)+SUMIF('F&amp;B'!$C:$C,$A45,'F&amp;B'!$F:$F)+SUMIF('Pools &amp; Spa'!$C:$C,$A45,'Pools &amp; Spa'!$F:$F)+SUMIF('Common Areas'!$C:$C,$A45,'Common Areas'!$F:$F)</f>
        <v>0</v>
      </c>
      <c r="E45" s="5" t="n">
        <f aca="false">SUMIF(Rooms!$C:$C,$A45,Rooms!$G:$G)+SUMIF('F&amp;B'!$C:$C,$A45,'F&amp;B'!$G:$G)+SUMIF('Pools &amp; Spa'!$C:$C,$A45,'Pools &amp; Spa'!$G:$G)+SUMIF('Common Areas'!$C:$C,$A45,'Common Areas'!$G:$G)</f>
        <v>0</v>
      </c>
      <c r="F45" s="6" t="n">
        <f aca="false">SUM(B45:E45)</f>
        <v>12</v>
      </c>
      <c r="G45" s="5" t="n">
        <f aca="false">SUMIF(Rooms!$C:$C,$A45,Rooms!$I:$I)+SUMIF('F&amp;B'!$C:$C,$A45,'F&amp;B'!$I:$I)+SUMIF('Pools &amp; Spa'!$C:$C,$A45,'Pools &amp; Spa'!$I:$I)+SUMIF('Common Areas'!$C:$C,$A45,'Common Areas'!$I:$I)</f>
        <v>14</v>
      </c>
    </row>
    <row r="46" customFormat="false" ht="15" hidden="false" customHeight="false" outlineLevel="0" collapsed="false">
      <c r="A46" s="7" t="s">
        <v>50</v>
      </c>
      <c r="B46" s="5" t="n">
        <f aca="false">SUMIF(Rooms!$C:$C,$A46,Rooms!$D:$D)+SUMIF('F&amp;B'!$C:$C,$A46,'F&amp;B'!$D:$D)+SUMIF('Pools &amp; Spa'!$C:$C,$A46,'Pools &amp; Spa'!$D:$D)+SUMIF('Common Areas'!$C:$C,$A46,'Common Areas'!$D:$D)</f>
        <v>6</v>
      </c>
      <c r="C46" s="5" t="n">
        <f aca="false">SUMIF(Rooms!$C:$C,$A46,Rooms!$E:$E)+SUMIF('F&amp;B'!$C:$C,$A46,'F&amp;B'!$E:$E)+SUMIF('Pools &amp; Spa'!$C:$C,$A46,'Pools &amp; Spa'!$E:$E)+SUMIF('Common Areas'!$C:$C,$A46,'Common Areas'!$E:$E)</f>
        <v>2</v>
      </c>
      <c r="D46" s="5" t="n">
        <f aca="false">SUMIF(Rooms!$C:$C,$A46,Rooms!$F:$F)+SUMIF('F&amp;B'!$C:$C,$A46,'F&amp;B'!$F:$F)+SUMIF('Pools &amp; Spa'!$C:$C,$A46,'Pools &amp; Spa'!$F:$F)+SUMIF('Common Areas'!$C:$C,$A46,'Common Areas'!$F:$F)</f>
        <v>2</v>
      </c>
      <c r="E46" s="5" t="n">
        <f aca="false">SUMIF(Rooms!$C:$C,$A46,Rooms!$G:$G)+SUMIF('F&amp;B'!$C:$C,$A46,'F&amp;B'!$G:$G)+SUMIF('Pools &amp; Spa'!$C:$C,$A46,'Pools &amp; Spa'!$G:$G)+SUMIF('Common Areas'!$C:$C,$A46,'Common Areas'!$G:$G)</f>
        <v>2</v>
      </c>
      <c r="F46" s="6" t="n">
        <f aca="false">SUM(B46:E46)</f>
        <v>12</v>
      </c>
      <c r="G46" s="5" t="n">
        <f aca="false">SUMIF(Rooms!$C:$C,$A46,Rooms!$I:$I)+SUMIF('F&amp;B'!$C:$C,$A46,'F&amp;B'!$I:$I)+SUMIF('Pools &amp; Spa'!$C:$C,$A46,'Pools &amp; Spa'!$I:$I)+SUMIF('Common Areas'!$C:$C,$A46,'Common Areas'!$I:$I)</f>
        <v>14</v>
      </c>
    </row>
    <row r="47" customFormat="false" ht="15" hidden="false" customHeight="false" outlineLevel="0" collapsed="false">
      <c r="A47" s="7" t="s">
        <v>51</v>
      </c>
      <c r="B47" s="5" t="n">
        <f aca="false">SUMIF(Rooms!$C:$C,$A47,Rooms!$D:$D)+SUMIF('F&amp;B'!$C:$C,$A47,'F&amp;B'!$D:$D)+SUMIF('Pools &amp; Spa'!$C:$C,$A47,'Pools &amp; Spa'!$D:$D)+SUMIF('Common Areas'!$C:$C,$A47,'Common Areas'!$D:$D)</f>
        <v>135</v>
      </c>
      <c r="C47" s="5" t="n">
        <f aca="false">SUMIF(Rooms!$C:$C,$A47,Rooms!$E:$E)+SUMIF('F&amp;B'!$C:$C,$A47,'F&amp;B'!$E:$E)+SUMIF('Pools &amp; Spa'!$C:$C,$A47,'Pools &amp; Spa'!$E:$E)+SUMIF('Common Areas'!$C:$C,$A47,'Common Areas'!$E:$E)</f>
        <v>180</v>
      </c>
      <c r="D47" s="5" t="n">
        <f aca="false">SUMIF(Rooms!$C:$C,$A47,Rooms!$F:$F)+SUMIF('F&amp;B'!$C:$C,$A47,'F&amp;B'!$F:$F)+SUMIF('Pools &amp; Spa'!$C:$C,$A47,'Pools &amp; Spa'!$F:$F)+SUMIF('Common Areas'!$C:$C,$A47,'Common Areas'!$F:$F)</f>
        <v>117</v>
      </c>
      <c r="E47" s="5" t="n">
        <f aca="false">SUMIF(Rooms!$C:$C,$A47,Rooms!$G:$G)+SUMIF('F&amp;B'!$C:$C,$A47,'F&amp;B'!$G:$G)+SUMIF('Pools &amp; Spa'!$C:$C,$A47,'Pools &amp; Spa'!$G:$G)+SUMIF('Common Areas'!$C:$C,$A47,'Common Areas'!$G:$G)</f>
        <v>117</v>
      </c>
      <c r="F47" s="6" t="n">
        <f aca="false">SUM(B47:E47)</f>
        <v>549</v>
      </c>
      <c r="G47" s="5" t="n">
        <f aca="false">SUMIF(Rooms!$C:$C,$A47,Rooms!$I:$I)+SUMIF('F&amp;B'!$C:$C,$A47,'F&amp;B'!$I:$I)+SUMIF('Pools &amp; Spa'!$C:$C,$A47,'Pools &amp; Spa'!$I:$I)+SUMIF('Common Areas'!$C:$C,$A47,'Common Areas'!$I:$I)</f>
        <v>607</v>
      </c>
    </row>
    <row r="48" customFormat="false" ht="15" hidden="false" customHeight="false" outlineLevel="0" collapsed="false">
      <c r="A48" s="7" t="s">
        <v>52</v>
      </c>
      <c r="B48" s="5" t="n">
        <f aca="false">SUMIF(Rooms!$C:$C,$A48,Rooms!$D:$D)+SUMIF('F&amp;B'!$C:$C,$A48,'F&amp;B'!$D:$D)+SUMIF('Pools &amp; Spa'!$C:$C,$A48,'Pools &amp; Spa'!$D:$D)+SUMIF('Common Areas'!$C:$C,$A48,'Common Areas'!$D:$D)</f>
        <v>105</v>
      </c>
      <c r="C48" s="5" t="n">
        <f aca="false">SUMIF(Rooms!$C:$C,$A48,Rooms!$E:$E)+SUMIF('F&amp;B'!$C:$C,$A48,'F&amp;B'!$E:$E)+SUMIF('Pools &amp; Spa'!$C:$C,$A48,'Pools &amp; Spa'!$E:$E)+SUMIF('Common Areas'!$C:$C,$A48,'Common Areas'!$E:$E)</f>
        <v>140</v>
      </c>
      <c r="D48" s="5" t="n">
        <f aca="false">SUMIF(Rooms!$C:$C,$A48,Rooms!$F:$F)+SUMIF('F&amp;B'!$C:$C,$A48,'F&amp;B'!$F:$F)+SUMIF('Pools &amp; Spa'!$C:$C,$A48,'Pools &amp; Spa'!$F:$F)+SUMIF('Common Areas'!$C:$C,$A48,'Common Areas'!$F:$F)</f>
        <v>91</v>
      </c>
      <c r="E48" s="5" t="n">
        <f aca="false">SUMIF(Rooms!$C:$C,$A48,Rooms!$G:$G)+SUMIF('F&amp;B'!$C:$C,$A48,'F&amp;B'!$G:$G)+SUMIF('Pools &amp; Spa'!$C:$C,$A48,'Pools &amp; Spa'!$G:$G)+SUMIF('Common Areas'!$C:$C,$A48,'Common Areas'!$G:$G)</f>
        <v>91</v>
      </c>
      <c r="F48" s="6" t="n">
        <f aca="false">SUM(B48:E48)</f>
        <v>427</v>
      </c>
      <c r="G48" s="5" t="n">
        <f aca="false">SUMIF(Rooms!$C:$C,$A48,Rooms!$I:$I)+SUMIF('F&amp;B'!$C:$C,$A48,'F&amp;B'!$I:$I)+SUMIF('Pools &amp; Spa'!$C:$C,$A48,'Pools &amp; Spa'!$I:$I)+SUMIF('Common Areas'!$C:$C,$A48,'Common Areas'!$I:$I)</f>
        <v>471</v>
      </c>
    </row>
    <row r="49" customFormat="false" ht="15" hidden="false" customHeight="false" outlineLevel="0" collapsed="false">
      <c r="A49" s="8" t="s">
        <v>53</v>
      </c>
      <c r="B49" s="9" t="n">
        <f aca="false">B20+B21+B22</f>
        <v>216</v>
      </c>
      <c r="C49" s="9" t="n">
        <f aca="false">C20+C21+C22</f>
        <v>141</v>
      </c>
      <c r="D49" s="9" t="n">
        <f aca="false">D20+D21+D22</f>
        <v>88</v>
      </c>
      <c r="E49" s="9" t="n">
        <f aca="false">E20+E21+E22</f>
        <v>99</v>
      </c>
      <c r="F49" s="9" t="n">
        <f aca="false">F20+F21+F22</f>
        <v>544</v>
      </c>
      <c r="G49" s="9" t="n">
        <f aca="false">G20+G21+G22</f>
        <v>604</v>
      </c>
    </row>
    <row r="50" customFormat="false" ht="15" hidden="false" customHeight="false" outlineLevel="0" collapsed="false">
      <c r="A50" s="8" t="s">
        <v>54</v>
      </c>
      <c r="B50" s="9" t="n">
        <f aca="false">B23+B24+B25+B18</f>
        <v>272</v>
      </c>
      <c r="C50" s="9" t="n">
        <f aca="false">C23+C24+C25+C18</f>
        <v>126</v>
      </c>
      <c r="D50" s="9" t="n">
        <f aca="false">D23+D24+D25+D18</f>
        <v>158</v>
      </c>
      <c r="E50" s="9" t="n">
        <f aca="false">E23+E24+E25+E18</f>
        <v>98</v>
      </c>
      <c r="F50" s="9" t="n">
        <f aca="false">F23+F24+F25+F18</f>
        <v>654</v>
      </c>
      <c r="G50" s="9" t="n">
        <f aca="false">G23+G24+G25+G18</f>
        <v>723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60"/>
    <col collapsed="false" customWidth="true" hidden="false" outlineLevel="0" max="5" min="5" style="0" width="34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3" t="s">
        <v>57</v>
      </c>
      <c r="B4" s="3" t="s">
        <v>58</v>
      </c>
      <c r="C4" s="3" t="s">
        <v>59</v>
      </c>
      <c r="D4" s="3" t="s">
        <v>60</v>
      </c>
      <c r="E4" s="3" t="s">
        <v>61</v>
      </c>
    </row>
    <row r="5" customFormat="false" ht="57.45" hidden="false" customHeight="false" outlineLevel="0" collapsed="false">
      <c r="A5" s="10" t="s">
        <v>62</v>
      </c>
      <c r="B5" s="11" t="s">
        <v>63</v>
      </c>
      <c r="C5" s="11" t="s">
        <v>64</v>
      </c>
      <c r="D5" s="11" t="s">
        <v>65</v>
      </c>
      <c r="E5" s="11" t="s">
        <v>66</v>
      </c>
    </row>
    <row r="6" customFormat="false" ht="35.05" hidden="false" customHeight="false" outlineLevel="0" collapsed="false">
      <c r="A6" s="10" t="s">
        <v>67</v>
      </c>
      <c r="B6" s="11" t="s">
        <v>68</v>
      </c>
      <c r="C6" s="11" t="s">
        <v>69</v>
      </c>
      <c r="D6" s="11" t="s">
        <v>70</v>
      </c>
      <c r="E6" s="11" t="s">
        <v>71</v>
      </c>
    </row>
    <row r="7" customFormat="false" ht="23.85" hidden="false" customHeight="false" outlineLevel="0" collapsed="false">
      <c r="A7" s="10" t="s">
        <v>72</v>
      </c>
      <c r="B7" s="11" t="s">
        <v>73</v>
      </c>
      <c r="C7" s="11" t="s">
        <v>74</v>
      </c>
      <c r="D7" s="11" t="s">
        <v>75</v>
      </c>
      <c r="E7" s="11" t="s">
        <v>76</v>
      </c>
    </row>
    <row r="8" customFormat="false" ht="23.85" hidden="false" customHeight="false" outlineLevel="0" collapsed="false">
      <c r="A8" s="10" t="s">
        <v>77</v>
      </c>
      <c r="B8" s="11" t="s">
        <v>78</v>
      </c>
      <c r="C8" s="11" t="s">
        <v>79</v>
      </c>
      <c r="D8" s="11" t="s">
        <v>80</v>
      </c>
      <c r="E8" s="11" t="s">
        <v>81</v>
      </c>
    </row>
    <row r="9" customFormat="false" ht="23.85" hidden="false" customHeight="false" outlineLevel="0" collapsed="false">
      <c r="A9" s="10" t="s">
        <v>82</v>
      </c>
      <c r="B9" s="11" t="s">
        <v>83</v>
      </c>
      <c r="C9" s="11" t="s">
        <v>84</v>
      </c>
      <c r="D9" s="11" t="s">
        <v>85</v>
      </c>
      <c r="E9" s="11" t="s">
        <v>86</v>
      </c>
    </row>
    <row r="10" customFormat="false" ht="35.05" hidden="false" customHeight="false" outlineLevel="0" collapsed="false">
      <c r="A10" s="10" t="s">
        <v>87</v>
      </c>
      <c r="B10" s="11" t="s">
        <v>88</v>
      </c>
      <c r="C10" s="11" t="s">
        <v>89</v>
      </c>
      <c r="D10" s="11" t="s">
        <v>90</v>
      </c>
      <c r="E10" s="11" t="s">
        <v>91</v>
      </c>
    </row>
    <row r="11" customFormat="false" ht="23.85" hidden="false" customHeight="false" outlineLevel="0" collapsed="false">
      <c r="A11" s="10" t="s">
        <v>92</v>
      </c>
      <c r="B11" s="11" t="s">
        <v>93</v>
      </c>
      <c r="C11" s="11" t="s">
        <v>94</v>
      </c>
      <c r="D11" s="11" t="s">
        <v>95</v>
      </c>
      <c r="E11" s="11" t="s">
        <v>96</v>
      </c>
    </row>
    <row r="12" customFormat="false" ht="23.85" hidden="false" customHeight="false" outlineLevel="0" collapsed="false">
      <c r="A12" s="10" t="s">
        <v>97</v>
      </c>
      <c r="B12" s="11" t="s">
        <v>98</v>
      </c>
      <c r="C12" s="11" t="s">
        <v>99</v>
      </c>
      <c r="D12" s="11" t="s">
        <v>100</v>
      </c>
      <c r="E12" s="11" t="s">
        <v>91</v>
      </c>
    </row>
    <row r="13" customFormat="false" ht="46.25" hidden="false" customHeight="false" outlineLevel="0" collapsed="false">
      <c r="A13" s="10" t="s">
        <v>101</v>
      </c>
      <c r="B13" s="11" t="s">
        <v>102</v>
      </c>
      <c r="C13" s="11" t="s">
        <v>103</v>
      </c>
      <c r="D13" s="11" t="s">
        <v>104</v>
      </c>
      <c r="E13" s="11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34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3" min="11" style="0" width="9"/>
  </cols>
  <sheetData>
    <row r="1" customFormat="false" ht="17.35" hidden="false" customHeight="false" outlineLevel="0" collapsed="false">
      <c r="A1" s="1" t="s">
        <v>106</v>
      </c>
    </row>
    <row r="2" customFormat="false" ht="15" hidden="false" customHeight="false" outlineLevel="0" collapsed="false">
      <c r="A2" s="2" t="s">
        <v>107</v>
      </c>
    </row>
    <row r="3" customFormat="false" ht="15" hidden="false" customHeight="false" outlineLevel="0" collapsed="false">
      <c r="A3" s="2" t="s">
        <v>108</v>
      </c>
    </row>
    <row r="6" customFormat="false" ht="35.05" hidden="false" customHeight="false" outlineLevel="0" collapsed="false">
      <c r="A6" s="3" t="s">
        <v>109</v>
      </c>
      <c r="B6" s="3" t="s">
        <v>110</v>
      </c>
      <c r="C6" s="3" t="s">
        <v>111</v>
      </c>
      <c r="D6" s="3" t="s">
        <v>112</v>
      </c>
      <c r="E6" s="3" t="s">
        <v>113</v>
      </c>
      <c r="F6" s="3" t="s">
        <v>114</v>
      </c>
      <c r="G6" s="3" t="s">
        <v>115</v>
      </c>
      <c r="H6" s="3" t="s">
        <v>116</v>
      </c>
      <c r="I6" s="3" t="s">
        <v>117</v>
      </c>
      <c r="J6" s="3" t="s">
        <v>11</v>
      </c>
      <c r="K6" s="3" t="s">
        <v>118</v>
      </c>
      <c r="L6" s="3" t="s">
        <v>119</v>
      </c>
      <c r="M6" s="3" t="s">
        <v>120</v>
      </c>
    </row>
    <row r="7" customFormat="false" ht="23.85" hidden="false" customHeight="false" outlineLevel="0" collapsed="false">
      <c r="A7" s="4" t="s">
        <v>121</v>
      </c>
      <c r="B7" s="11" t="s">
        <v>122</v>
      </c>
      <c r="C7" s="12" t="s">
        <v>123</v>
      </c>
      <c r="D7" s="13" t="n">
        <v>14</v>
      </c>
      <c r="E7" s="12" t="n">
        <v>1</v>
      </c>
      <c r="F7" s="14" t="s">
        <v>124</v>
      </c>
      <c r="G7" s="15" t="n">
        <f aca="false">IF(C7="5*",MAX(1,ROUND(D7*$B$15,0)),ROUND(D7*$B$15,0))</f>
        <v>1</v>
      </c>
      <c r="H7" s="15" t="n">
        <f aca="false">ROUND(D7*$B$14,0)</f>
        <v>3</v>
      </c>
      <c r="I7" s="15" t="n">
        <f aca="false">D7-G7-H7</f>
        <v>10</v>
      </c>
      <c r="J7" s="15" t="n">
        <f aca="false">I7+H7+G7*$B$16</f>
        <v>15</v>
      </c>
      <c r="K7" s="15" t="n">
        <f aca="false">H7+G7</f>
        <v>4</v>
      </c>
      <c r="L7" s="15" t="n">
        <f aca="false">J7</f>
        <v>15</v>
      </c>
      <c r="M7" s="12" t="n">
        <v>0</v>
      </c>
    </row>
    <row r="8" customFormat="false" ht="23.85" hidden="false" customHeight="false" outlineLevel="0" collapsed="false">
      <c r="A8" s="4" t="s">
        <v>125</v>
      </c>
      <c r="B8" s="11" t="s">
        <v>126</v>
      </c>
      <c r="C8" s="12" t="s">
        <v>123</v>
      </c>
      <c r="D8" s="13" t="n">
        <v>18</v>
      </c>
      <c r="E8" s="12" t="n">
        <v>2</v>
      </c>
      <c r="F8" s="14" t="s">
        <v>127</v>
      </c>
      <c r="G8" s="15" t="n">
        <f aca="false">IF(C8="5*",MAX(1,ROUND(D8*$B$15,0)),ROUND(D8*$B$15,0))</f>
        <v>2</v>
      </c>
      <c r="H8" s="15" t="n">
        <f aca="false">ROUND(D8*$B$14,0)</f>
        <v>4</v>
      </c>
      <c r="I8" s="15" t="n">
        <f aca="false">D8-G8-H8</f>
        <v>12</v>
      </c>
      <c r="J8" s="15" t="n">
        <f aca="false">I8+H8+G8*$B$16</f>
        <v>20</v>
      </c>
      <c r="K8" s="15" t="n">
        <f aca="false">H8+G8</f>
        <v>6</v>
      </c>
      <c r="L8" s="15" t="n">
        <f aca="false">J8</f>
        <v>20</v>
      </c>
      <c r="M8" s="12" t="n">
        <v>0</v>
      </c>
    </row>
    <row r="9" customFormat="false" ht="23.85" hidden="false" customHeight="false" outlineLevel="0" collapsed="false">
      <c r="A9" s="4" t="s">
        <v>128</v>
      </c>
      <c r="B9" s="11" t="s">
        <v>129</v>
      </c>
      <c r="C9" s="12" t="s">
        <v>130</v>
      </c>
      <c r="D9" s="13" t="n">
        <v>12</v>
      </c>
      <c r="E9" s="12" t="n">
        <v>3</v>
      </c>
      <c r="F9" s="14" t="s">
        <v>131</v>
      </c>
      <c r="G9" s="15" t="n">
        <f aca="false">IF(C9="5*",MAX(1,ROUND(D9*$B$15,0)),ROUND(D9*$B$15,0))</f>
        <v>1</v>
      </c>
      <c r="H9" s="15" t="n">
        <f aca="false">ROUND(D9*$B$14,0)</f>
        <v>2</v>
      </c>
      <c r="I9" s="15" t="n">
        <f aca="false">D9-G9-H9</f>
        <v>9</v>
      </c>
      <c r="J9" s="15" t="n">
        <f aca="false">I9+H9+G9*$B$16</f>
        <v>13</v>
      </c>
      <c r="K9" s="15" t="n">
        <f aca="false">H9+G9</f>
        <v>3</v>
      </c>
      <c r="L9" s="15" t="n">
        <f aca="false">J9</f>
        <v>13</v>
      </c>
      <c r="M9" s="12" t="n">
        <v>1</v>
      </c>
    </row>
    <row r="10" customFormat="false" ht="15" hidden="false" customHeight="false" outlineLevel="0" collapsed="false">
      <c r="A10" s="4" t="s">
        <v>132</v>
      </c>
      <c r="B10" s="11" t="s">
        <v>133</v>
      </c>
      <c r="C10" s="12" t="s">
        <v>130</v>
      </c>
      <c r="D10" s="13" t="n">
        <v>12</v>
      </c>
      <c r="E10" s="12" t="n">
        <v>4</v>
      </c>
      <c r="F10" s="14" t="s">
        <v>131</v>
      </c>
      <c r="G10" s="15" t="n">
        <f aca="false">IF(C10="5*",MAX(1,ROUND(D10*$B$15,0)),ROUND(D10*$B$15,0))</f>
        <v>1</v>
      </c>
      <c r="H10" s="15" t="n">
        <f aca="false">ROUND(D10*$B$14,0)</f>
        <v>2</v>
      </c>
      <c r="I10" s="15" t="n">
        <f aca="false">D10-G10-H10</f>
        <v>9</v>
      </c>
      <c r="J10" s="15" t="n">
        <f aca="false">I10+H10+G10*$B$16</f>
        <v>13</v>
      </c>
      <c r="K10" s="15" t="n">
        <f aca="false">H10+G10</f>
        <v>3</v>
      </c>
      <c r="L10" s="15" t="n">
        <f aca="false">J10</f>
        <v>13</v>
      </c>
      <c r="M10" s="12" t="n">
        <v>1</v>
      </c>
    </row>
    <row r="11" customFormat="false" ht="15" hidden="false" customHeight="false" outlineLevel="0" collapsed="false">
      <c r="A11" s="8" t="s">
        <v>7</v>
      </c>
      <c r="D11" s="9" t="n">
        <f aca="false">SUM(D7:D10)</f>
        <v>56</v>
      </c>
      <c r="G11" s="9" t="n">
        <f aca="false">SUM(G7:G10)</f>
        <v>5</v>
      </c>
      <c r="H11" s="9" t="n">
        <f aca="false">SUM(H7:H10)</f>
        <v>11</v>
      </c>
      <c r="I11" s="9" t="n">
        <f aca="false">SUM(I7:I10)</f>
        <v>40</v>
      </c>
      <c r="J11" s="9" t="n">
        <f aca="false">SUM(J7:J10)</f>
        <v>61</v>
      </c>
      <c r="K11" s="9" t="n">
        <f aca="false">SUM(K7:K10)</f>
        <v>16</v>
      </c>
      <c r="L11" s="9" t="n">
        <f aca="false">SUM(L7:L10)</f>
        <v>61</v>
      </c>
    </row>
    <row r="13" customFormat="false" ht="15" hidden="false" customHeight="false" outlineLevel="0" collapsed="false">
      <c r="A13" s="16" t="s">
        <v>134</v>
      </c>
    </row>
    <row r="14" customFormat="false" ht="22.35" hidden="false" customHeight="true" outlineLevel="0" collapsed="false">
      <c r="A14" s="7" t="s">
        <v>135</v>
      </c>
      <c r="B14" s="17" t="n">
        <v>0.2</v>
      </c>
      <c r="C14" s="18" t="s">
        <v>136</v>
      </c>
      <c r="D14" s="18"/>
      <c r="E14" s="18"/>
      <c r="F14" s="18"/>
    </row>
    <row r="15" customFormat="false" ht="15" hidden="false" customHeight="true" outlineLevel="0" collapsed="false">
      <c r="A15" s="7" t="s">
        <v>137</v>
      </c>
      <c r="B15" s="17" t="n">
        <v>0.1</v>
      </c>
      <c r="C15" s="18" t="s">
        <v>138</v>
      </c>
      <c r="D15" s="18"/>
      <c r="E15" s="18"/>
      <c r="F15" s="18"/>
    </row>
    <row r="16" customFormat="false" ht="15" hidden="false" customHeight="true" outlineLevel="0" collapsed="false">
      <c r="A16" s="7" t="s">
        <v>139</v>
      </c>
      <c r="B16" s="19" t="n">
        <v>2</v>
      </c>
      <c r="C16" s="18" t="s">
        <v>140</v>
      </c>
      <c r="D16" s="18"/>
      <c r="E16" s="18"/>
      <c r="F16" s="18"/>
    </row>
    <row r="17" customFormat="false" ht="15" hidden="false" customHeight="true" outlineLevel="0" collapsed="false">
      <c r="A17" s="7" t="s">
        <v>141</v>
      </c>
      <c r="B17" s="19" t="n">
        <v>3</v>
      </c>
      <c r="C17" s="18" t="s">
        <v>142</v>
      </c>
      <c r="D17" s="18"/>
      <c r="E17" s="18"/>
      <c r="F17" s="18"/>
    </row>
    <row r="18" customFormat="false" ht="15" hidden="false" customHeight="true" outlineLevel="0" collapsed="false">
      <c r="A18" s="7" t="s">
        <v>143</v>
      </c>
      <c r="B18" s="17" t="n">
        <v>0.1</v>
      </c>
      <c r="C18" s="18" t="s">
        <v>144</v>
      </c>
      <c r="D18" s="18"/>
      <c r="E18" s="18"/>
      <c r="F18" s="18"/>
    </row>
    <row r="19" customFormat="false" ht="15" hidden="false" customHeight="true" outlineLevel="0" collapsed="false">
      <c r="A19" s="7" t="s">
        <v>145</v>
      </c>
      <c r="B19" s="20" t="n">
        <v>2.5</v>
      </c>
      <c r="C19" s="18" t="s">
        <v>146</v>
      </c>
      <c r="D19" s="18"/>
      <c r="E19" s="18"/>
      <c r="F19" s="18"/>
    </row>
    <row r="21" customFormat="false" ht="15" hidden="false" customHeight="false" outlineLevel="0" collapsed="false">
      <c r="A21" s="16" t="s">
        <v>147</v>
      </c>
    </row>
    <row r="22" customFormat="false" ht="15" hidden="false" customHeight="false" outlineLevel="0" collapsed="false">
      <c r="A22" s="3" t="s">
        <v>148</v>
      </c>
      <c r="B22" s="3" t="s">
        <v>149</v>
      </c>
      <c r="C22" s="3" t="s">
        <v>150</v>
      </c>
      <c r="D22" s="3" t="s">
        <v>151</v>
      </c>
      <c r="E22" s="3" t="s">
        <v>152</v>
      </c>
      <c r="F22" s="3" t="s">
        <v>7</v>
      </c>
    </row>
    <row r="23" customFormat="false" ht="15" hidden="false" customHeight="false" outlineLevel="0" collapsed="false">
      <c r="A23" s="7" t="s">
        <v>153</v>
      </c>
      <c r="B23" s="15" t="n">
        <f aca="false">SUMPRODUCT($D$7:$D$10*($E$7:$E$10=1))</f>
        <v>14</v>
      </c>
      <c r="C23" s="15" t="n">
        <f aca="false">SUMPRODUCT($D$7:$D$10*($E$7:$E$10=2))</f>
        <v>18</v>
      </c>
      <c r="D23" s="15" t="n">
        <f aca="false">SUMPRODUCT($D$7:$D$10*($E$7:$E$10=3))</f>
        <v>12</v>
      </c>
      <c r="E23" s="15" t="n">
        <f aca="false">SUMPRODUCT($D$7:$D$10*($E$7:$E$10=4))</f>
        <v>12</v>
      </c>
      <c r="F23" s="6" t="n">
        <f aca="false">SUM(B23:E23)</f>
        <v>56</v>
      </c>
    </row>
    <row r="24" customFormat="false" ht="15" hidden="false" customHeight="false" outlineLevel="0" collapsed="false">
      <c r="A24" s="7" t="s">
        <v>154</v>
      </c>
      <c r="B24" s="15" t="n">
        <f aca="false">SUMPRODUCT($J$7:$J$10*($E$7:$E$10=1))</f>
        <v>15</v>
      </c>
      <c r="C24" s="15" t="n">
        <f aca="false">SUMPRODUCT($J$7:$J$10*($E$7:$E$10=2))</f>
        <v>20</v>
      </c>
      <c r="D24" s="15" t="n">
        <f aca="false">SUMPRODUCT($J$7:$J$10*($E$7:$E$10=3))</f>
        <v>13</v>
      </c>
      <c r="E24" s="15" t="n">
        <f aca="false">SUMPRODUCT($J$7:$J$10*($E$7:$E$10=4))</f>
        <v>13</v>
      </c>
      <c r="F24" s="6" t="n">
        <f aca="false">SUM(B24:E24)</f>
        <v>61</v>
      </c>
    </row>
    <row r="25" customFormat="false" ht="15" hidden="false" customHeight="false" outlineLevel="0" collapsed="false">
      <c r="A25" s="7" t="s">
        <v>155</v>
      </c>
      <c r="B25" s="15" t="n">
        <f aca="false">SUMPRODUCT($K$7:$K$10*($E$7:$E$10=1))</f>
        <v>4</v>
      </c>
      <c r="C25" s="15" t="n">
        <f aca="false">SUMPRODUCT($K$7:$K$10*($E$7:$E$10=2))</f>
        <v>6</v>
      </c>
      <c r="D25" s="15" t="n">
        <f aca="false">SUMPRODUCT($K$7:$K$10*($E$7:$E$10=3))</f>
        <v>3</v>
      </c>
      <c r="E25" s="15" t="n">
        <f aca="false">SUMPRODUCT($K$7:$K$10*($E$7:$E$10=4))</f>
        <v>3</v>
      </c>
      <c r="F25" s="6" t="n">
        <f aca="false">SUM(B25:E25)</f>
        <v>16</v>
      </c>
    </row>
    <row r="26" customFormat="false" ht="15" hidden="false" customHeight="false" outlineLevel="0" collapsed="false">
      <c r="A26" s="7" t="s">
        <v>156</v>
      </c>
      <c r="B26" s="15" t="n">
        <f aca="false">SUMPRODUCT($L$7:$L$10*($E$7:$E$10=1))</f>
        <v>15</v>
      </c>
      <c r="C26" s="15" t="n">
        <f aca="false">SUMPRODUCT($L$7:$L$10*($E$7:$E$10=2))</f>
        <v>20</v>
      </c>
      <c r="D26" s="15" t="n">
        <f aca="false">SUMPRODUCT($L$7:$L$10*($E$7:$E$10=3))</f>
        <v>13</v>
      </c>
      <c r="E26" s="15" t="n">
        <f aca="false">SUMPRODUCT($L$7:$L$10*($E$7:$E$10=4))</f>
        <v>13</v>
      </c>
      <c r="F26" s="6" t="n">
        <f aca="false">SUM(B26:E26)</f>
        <v>61</v>
      </c>
    </row>
    <row r="27" customFormat="false" ht="15" hidden="false" customHeight="false" outlineLevel="0" collapsed="false">
      <c r="A27" s="7" t="s">
        <v>157</v>
      </c>
      <c r="B27" s="15" t="n">
        <f aca="false">SUMPRODUCT($D$7:$D$10*($E$7:$E$10=1))</f>
        <v>14</v>
      </c>
      <c r="C27" s="15" t="n">
        <f aca="false">SUMPRODUCT($D$7:$D$10*($E$7:$E$10=2))</f>
        <v>18</v>
      </c>
      <c r="D27" s="15" t="n">
        <f aca="false">SUMPRODUCT($D$7:$D$10*($E$7:$E$10=3))</f>
        <v>12</v>
      </c>
      <c r="E27" s="15" t="n">
        <f aca="false">SUMPRODUCT($D$7:$D$10*($E$7:$E$10=4))</f>
        <v>12</v>
      </c>
      <c r="F27" s="6" t="n">
        <f aca="false">SUM(B27:E27)</f>
        <v>56</v>
      </c>
    </row>
    <row r="28" customFormat="false" ht="15" hidden="false" customHeight="false" outlineLevel="0" collapsed="false">
      <c r="A28" s="7" t="s">
        <v>158</v>
      </c>
      <c r="B28" s="15" t="n">
        <f aca="false">SUMPRODUCT($D$7:$D$10*$B$17*($E$7:$E$10=1))</f>
        <v>42</v>
      </c>
      <c r="C28" s="15" t="n">
        <f aca="false">SUMPRODUCT($D$7:$D$10*$B$17*($E$7:$E$10=2))</f>
        <v>54</v>
      </c>
      <c r="D28" s="15" t="n">
        <f aca="false">SUMPRODUCT($D$7:$D$10*$B$17*($E$7:$E$10=3))</f>
        <v>36</v>
      </c>
      <c r="E28" s="15" t="n">
        <f aca="false">SUMPRODUCT($D$7:$D$10*$B$17*($E$7:$E$10=4))</f>
        <v>36</v>
      </c>
      <c r="F28" s="6" t="n">
        <f aca="false">SUM(B28:E28)</f>
        <v>168</v>
      </c>
    </row>
    <row r="29" customFormat="false" ht="15" hidden="false" customHeight="false" outlineLevel="0" collapsed="false">
      <c r="A29" s="7" t="s">
        <v>159</v>
      </c>
      <c r="B29" s="15" t="n">
        <f aca="false">SUMPRODUCT($D$7:$D$10*$M$7:$M$10*($E$7:$E$10=1))</f>
        <v>0</v>
      </c>
      <c r="C29" s="15" t="n">
        <f aca="false">SUMPRODUCT($D$7:$D$10*$M$7:$M$10*($E$7:$E$10=2))</f>
        <v>0</v>
      </c>
      <c r="D29" s="15" t="n">
        <f aca="false">SUMPRODUCT($D$7:$D$10*$M$7:$M$10*($E$7:$E$10=3))</f>
        <v>12</v>
      </c>
      <c r="E29" s="15" t="n">
        <f aca="false">SUMPRODUCT($D$7:$D$10*$M$7:$M$10*($E$7:$E$10=4))</f>
        <v>12</v>
      </c>
      <c r="F29" s="6" t="n">
        <f aca="false">SUM(B29:E29)</f>
        <v>24</v>
      </c>
    </row>
    <row r="30" customFormat="false" ht="15" hidden="false" customHeight="false" outlineLevel="0" collapsed="false">
      <c r="A30" s="7" t="s">
        <v>160</v>
      </c>
      <c r="B30" s="15" t="n">
        <f aca="false">SUMPRODUCT(--($E$7:$E$10=1))</f>
        <v>1</v>
      </c>
      <c r="C30" s="15" t="n">
        <f aca="false">SUMPRODUCT(--($E$7:$E$10=2))</f>
        <v>1</v>
      </c>
      <c r="D30" s="15" t="n">
        <f aca="false">SUMPRODUCT(--($E$7:$E$10=3))</f>
        <v>1</v>
      </c>
      <c r="E30" s="15" t="n">
        <f aca="false">SUMPRODUCT(--($E$7:$E$10=4))</f>
        <v>1</v>
      </c>
      <c r="F30" s="6" t="n">
        <f aca="false">SUM(B30:E30)</f>
        <v>4</v>
      </c>
    </row>
  </sheetData>
  <mergeCells count="6">
    <mergeCell ref="C14:F14"/>
    <mergeCell ref="C15:F15"/>
    <mergeCell ref="C16:F16"/>
    <mergeCell ref="C17:F17"/>
    <mergeCell ref="C18:F18"/>
    <mergeCell ref="C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8" min="4" style="0" width="9"/>
    <col collapsed="false" customWidth="true" hidden="false" outlineLevel="0" max="9" min="9" style="0" width="11"/>
    <col collapsed="false" customWidth="true" hidden="false" outlineLevel="0" max="10" min="10" style="0" width="50"/>
    <col collapsed="false" customWidth="true" hidden="false" outlineLevel="0" max="11" min="11" style="0" width="12"/>
    <col collapsed="false" customWidth="true" hidden="false" outlineLevel="0" max="12" min="12" style="0" width="9"/>
  </cols>
  <sheetData>
    <row r="1" customFormat="false" ht="17.3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162</v>
      </c>
    </row>
    <row r="4" customFormat="false" ht="23.85" hidden="false" customHeight="false" outlineLevel="0" collapsed="false">
      <c r="A4" s="3" t="s">
        <v>163</v>
      </c>
      <c r="B4" s="3" t="s">
        <v>164</v>
      </c>
      <c r="C4" s="3" t="s">
        <v>165</v>
      </c>
      <c r="D4" s="3" t="s">
        <v>149</v>
      </c>
      <c r="E4" s="3" t="s">
        <v>150</v>
      </c>
      <c r="F4" s="3" t="s">
        <v>151</v>
      </c>
      <c r="G4" s="3" t="s">
        <v>152</v>
      </c>
      <c r="H4" s="3" t="s">
        <v>7</v>
      </c>
      <c r="I4" s="3" t="s">
        <v>8</v>
      </c>
      <c r="J4" s="3" t="s">
        <v>166</v>
      </c>
      <c r="K4" s="3" t="s">
        <v>148</v>
      </c>
      <c r="L4" s="3" t="s">
        <v>167</v>
      </c>
    </row>
    <row r="5" customFormat="false" ht="32.8" hidden="false" customHeight="false" outlineLevel="0" collapsed="false">
      <c r="A5" s="7" t="s">
        <v>168</v>
      </c>
      <c r="B5" s="7" t="s">
        <v>169</v>
      </c>
      <c r="C5" s="7" t="s">
        <v>16</v>
      </c>
      <c r="D5" s="5" t="n">
        <f aca="false">$L5*INDEX(Assumptions!$B$23:$B$30,MATCH($K5,Assumptions!$A$23:$A$30,0))</f>
        <v>30</v>
      </c>
      <c r="E5" s="5" t="n">
        <f aca="false">$L5*INDEX(Assumptions!$C$23:$C$30,MATCH($K5,Assumptions!$A$23:$A$30,0))</f>
        <v>40</v>
      </c>
      <c r="F5" s="5" t="n">
        <f aca="false">$L5*INDEX(Assumptions!$D$23:$D$30,MATCH($K5,Assumptions!$A$23:$A$30,0))</f>
        <v>26</v>
      </c>
      <c r="G5" s="5" t="n">
        <f aca="false">$L5*INDEX(Assumptions!$E$23:$E$30,MATCH($K5,Assumptions!$A$23:$A$30,0))</f>
        <v>26</v>
      </c>
      <c r="H5" s="6" t="n">
        <f aca="false">SUM(D5:G5)</f>
        <v>122</v>
      </c>
      <c r="I5" s="15" t="n">
        <f aca="false">ROUNDUP(H5*(1+Assumptions!$B$18),0)</f>
        <v>135</v>
      </c>
      <c r="J5" s="18" t="s">
        <v>170</v>
      </c>
      <c r="K5" s="7" t="s">
        <v>154</v>
      </c>
      <c r="L5" s="13" t="n">
        <v>2</v>
      </c>
    </row>
    <row r="6" customFormat="false" ht="32.8" hidden="false" customHeight="false" outlineLevel="0" collapsed="false">
      <c r="A6" s="7" t="s">
        <v>171</v>
      </c>
      <c r="B6" s="7" t="s">
        <v>172</v>
      </c>
      <c r="C6" s="7" t="s">
        <v>18</v>
      </c>
      <c r="D6" s="5" t="n">
        <f aca="false">$L6*INDEX(Assumptions!$B$23:$B$30,MATCH($K6,Assumptions!$A$23:$A$30,0))</f>
        <v>1</v>
      </c>
      <c r="E6" s="5" t="n">
        <f aca="false">$L6*INDEX(Assumptions!$C$23:$C$30,MATCH($K6,Assumptions!$A$23:$A$30,0))</f>
        <v>1</v>
      </c>
      <c r="F6" s="5" t="n">
        <f aca="false">$L6*INDEX(Assumptions!$D$23:$D$30,MATCH($K6,Assumptions!$A$23:$A$30,0))</f>
        <v>1</v>
      </c>
      <c r="G6" s="5" t="n">
        <f aca="false">$L6*INDEX(Assumptions!$E$23:$E$30,MATCH($K6,Assumptions!$A$23:$A$30,0))</f>
        <v>1</v>
      </c>
      <c r="H6" s="6" t="n">
        <f aca="false">SUM(D6:G6)</f>
        <v>4</v>
      </c>
      <c r="I6" s="15" t="n">
        <f aca="false">ROUNDUP(H6*(1+Assumptions!$B$18),0)</f>
        <v>5</v>
      </c>
      <c r="J6" s="18" t="s">
        <v>173</v>
      </c>
      <c r="K6" s="7" t="s">
        <v>160</v>
      </c>
      <c r="L6" s="13" t="n">
        <v>1</v>
      </c>
    </row>
    <row r="7" customFormat="false" ht="15" hidden="false" customHeight="false" outlineLevel="0" collapsed="false">
      <c r="A7" s="7" t="s">
        <v>174</v>
      </c>
      <c r="B7" s="7" t="s">
        <v>175</v>
      </c>
      <c r="C7" s="7" t="s">
        <v>17</v>
      </c>
      <c r="D7" s="5" t="n">
        <f aca="false">$L7*INDEX(Assumptions!$B$23:$B$30,MATCH($K7,Assumptions!$A$23:$A$30,0))</f>
        <v>30</v>
      </c>
      <c r="E7" s="5" t="n">
        <f aca="false">$L7*INDEX(Assumptions!$C$23:$C$30,MATCH($K7,Assumptions!$A$23:$A$30,0))</f>
        <v>40</v>
      </c>
      <c r="F7" s="5" t="n">
        <f aca="false">$L7*INDEX(Assumptions!$D$23:$D$30,MATCH($K7,Assumptions!$A$23:$A$30,0))</f>
        <v>26</v>
      </c>
      <c r="G7" s="5" t="n">
        <f aca="false">$L7*INDEX(Assumptions!$E$23:$E$30,MATCH($K7,Assumptions!$A$23:$A$30,0))</f>
        <v>26</v>
      </c>
      <c r="H7" s="6" t="n">
        <f aca="false">SUM(D7:G7)</f>
        <v>122</v>
      </c>
      <c r="I7" s="15" t="n">
        <f aca="false">ROUNDUP(H7*(1+Assumptions!$B$18),0)</f>
        <v>135</v>
      </c>
      <c r="J7" s="18" t="s">
        <v>176</v>
      </c>
      <c r="K7" s="7" t="s">
        <v>154</v>
      </c>
      <c r="L7" s="13" t="n">
        <v>2</v>
      </c>
    </row>
    <row r="8" customFormat="false" ht="15" hidden="false" customHeight="false" outlineLevel="0" collapsed="false">
      <c r="A8" s="7" t="s">
        <v>177</v>
      </c>
      <c r="B8" s="7" t="s">
        <v>178</v>
      </c>
      <c r="C8" s="7" t="s">
        <v>51</v>
      </c>
      <c r="D8" s="5" t="n">
        <f aca="false">$L8*INDEX(Assumptions!$B$23:$B$30,MATCH($K8,Assumptions!$A$23:$A$30,0))</f>
        <v>15</v>
      </c>
      <c r="E8" s="5" t="n">
        <f aca="false">$L8*INDEX(Assumptions!$C$23:$C$30,MATCH($K8,Assumptions!$A$23:$A$30,0))</f>
        <v>20</v>
      </c>
      <c r="F8" s="5" t="n">
        <f aca="false">$L8*INDEX(Assumptions!$D$23:$D$30,MATCH($K8,Assumptions!$A$23:$A$30,0))</f>
        <v>13</v>
      </c>
      <c r="G8" s="5" t="n">
        <f aca="false">$L8*INDEX(Assumptions!$E$23:$E$30,MATCH($K8,Assumptions!$A$23:$A$30,0))</f>
        <v>13</v>
      </c>
      <c r="H8" s="6" t="n">
        <f aca="false">SUM(D8:G8)</f>
        <v>61</v>
      </c>
      <c r="I8" s="15" t="n">
        <f aca="false">ROUNDUP(H8*(1+Assumptions!$B$18),0)</f>
        <v>68</v>
      </c>
      <c r="J8" s="18"/>
      <c r="K8" s="7" t="s">
        <v>154</v>
      </c>
      <c r="L8" s="13" t="n">
        <v>1</v>
      </c>
    </row>
    <row r="9" customFormat="false" ht="15" hidden="false" customHeight="false" outlineLevel="0" collapsed="false">
      <c r="A9" s="7" t="s">
        <v>179</v>
      </c>
      <c r="B9" s="7" t="s">
        <v>180</v>
      </c>
      <c r="C9" s="7" t="s">
        <v>19</v>
      </c>
      <c r="D9" s="5" t="n">
        <f aca="false">$L9*INDEX(Assumptions!$B$23:$B$30,MATCH($K9,Assumptions!$A$23:$A$30,0))</f>
        <v>15</v>
      </c>
      <c r="E9" s="5" t="n">
        <f aca="false">$L9*INDEX(Assumptions!$C$23:$C$30,MATCH($K9,Assumptions!$A$23:$A$30,0))</f>
        <v>20</v>
      </c>
      <c r="F9" s="5" t="n">
        <f aca="false">$L9*INDEX(Assumptions!$D$23:$D$30,MATCH($K9,Assumptions!$A$23:$A$30,0))</f>
        <v>13</v>
      </c>
      <c r="G9" s="5" t="n">
        <f aca="false">$L9*INDEX(Assumptions!$E$23:$E$30,MATCH($K9,Assumptions!$A$23:$A$30,0))</f>
        <v>13</v>
      </c>
      <c r="H9" s="6" t="n">
        <f aca="false">SUM(D9:G9)</f>
        <v>61</v>
      </c>
      <c r="I9" s="15" t="n">
        <f aca="false">ROUNDUP(H9*(1+Assumptions!$B$18),0)</f>
        <v>68</v>
      </c>
      <c r="J9" s="18" t="s">
        <v>181</v>
      </c>
      <c r="K9" s="7" t="s">
        <v>154</v>
      </c>
      <c r="L9" s="13" t="n">
        <v>1</v>
      </c>
    </row>
    <row r="10" customFormat="false" ht="15" hidden="false" customHeight="false" outlineLevel="0" collapsed="false">
      <c r="A10" s="7" t="s">
        <v>182</v>
      </c>
      <c r="B10" s="7" t="s">
        <v>183</v>
      </c>
      <c r="C10" s="7" t="s">
        <v>20</v>
      </c>
      <c r="D10" s="5" t="n">
        <f aca="false">$L10*INDEX(Assumptions!$B$23:$B$30,MATCH($K10,Assumptions!$A$23:$A$30,0))</f>
        <v>30</v>
      </c>
      <c r="E10" s="5" t="n">
        <f aca="false">$L10*INDEX(Assumptions!$C$23:$C$30,MATCH($K10,Assumptions!$A$23:$A$30,0))</f>
        <v>40</v>
      </c>
      <c r="F10" s="5" t="n">
        <f aca="false">$L10*INDEX(Assumptions!$D$23:$D$30,MATCH($K10,Assumptions!$A$23:$A$30,0))</f>
        <v>26</v>
      </c>
      <c r="G10" s="5" t="n">
        <f aca="false">$L10*INDEX(Assumptions!$E$23:$E$30,MATCH($K10,Assumptions!$A$23:$A$30,0))</f>
        <v>26</v>
      </c>
      <c r="H10" s="6" t="n">
        <f aca="false">SUM(D10:G10)</f>
        <v>122</v>
      </c>
      <c r="I10" s="15" t="n">
        <f aca="false">ROUNDUP(H10*(1+Assumptions!$B$18),0)</f>
        <v>135</v>
      </c>
      <c r="J10" s="18"/>
      <c r="K10" s="7" t="s">
        <v>154</v>
      </c>
      <c r="L10" s="13" t="n">
        <v>2</v>
      </c>
    </row>
    <row r="11" customFormat="false" ht="15" hidden="false" customHeight="false" outlineLevel="0" collapsed="false">
      <c r="A11" s="7" t="s">
        <v>184</v>
      </c>
      <c r="B11" s="7" t="s">
        <v>185</v>
      </c>
      <c r="C11" s="7" t="s">
        <v>24</v>
      </c>
      <c r="D11" s="5" t="n">
        <f aca="false">$L11*INDEX(Assumptions!$B$23:$B$30,MATCH($K11,Assumptions!$A$23:$A$30,0))</f>
        <v>30</v>
      </c>
      <c r="E11" s="5" t="n">
        <f aca="false">$L11*INDEX(Assumptions!$C$23:$C$30,MATCH($K11,Assumptions!$A$23:$A$30,0))</f>
        <v>40</v>
      </c>
      <c r="F11" s="5" t="n">
        <f aca="false">$L11*INDEX(Assumptions!$D$23:$D$30,MATCH($K11,Assumptions!$A$23:$A$30,0))</f>
        <v>26</v>
      </c>
      <c r="G11" s="5" t="n">
        <f aca="false">$L11*INDEX(Assumptions!$E$23:$E$30,MATCH($K11,Assumptions!$A$23:$A$30,0))</f>
        <v>26</v>
      </c>
      <c r="H11" s="6" t="n">
        <f aca="false">SUM(D11:G11)</f>
        <v>122</v>
      </c>
      <c r="I11" s="15" t="n">
        <f aca="false">ROUNDUP(H11*(1+Assumptions!$B$18),0)</f>
        <v>135</v>
      </c>
      <c r="J11" s="18" t="s">
        <v>186</v>
      </c>
      <c r="K11" s="7" t="s">
        <v>154</v>
      </c>
      <c r="L11" s="13" t="n">
        <v>2</v>
      </c>
    </row>
    <row r="12" customFormat="false" ht="15" hidden="false" customHeight="false" outlineLevel="0" collapsed="false">
      <c r="A12" s="7" t="s">
        <v>187</v>
      </c>
      <c r="B12" s="7" t="s">
        <v>188</v>
      </c>
      <c r="C12" s="7" t="s">
        <v>43</v>
      </c>
      <c r="D12" s="5" t="n">
        <f aca="false">$L12*INDEX(Assumptions!$B$23:$B$30,MATCH($K12,Assumptions!$A$23:$A$30,0))</f>
        <v>15</v>
      </c>
      <c r="E12" s="5" t="n">
        <f aca="false">$L12*INDEX(Assumptions!$C$23:$C$30,MATCH($K12,Assumptions!$A$23:$A$30,0))</f>
        <v>20</v>
      </c>
      <c r="F12" s="5" t="n">
        <f aca="false">$L12*INDEX(Assumptions!$D$23:$D$30,MATCH($K12,Assumptions!$A$23:$A$30,0))</f>
        <v>13</v>
      </c>
      <c r="G12" s="5" t="n">
        <f aca="false">$L12*INDEX(Assumptions!$E$23:$E$30,MATCH($K12,Assumptions!$A$23:$A$30,0))</f>
        <v>13</v>
      </c>
      <c r="H12" s="6" t="n">
        <f aca="false">SUM(D12:G12)</f>
        <v>61</v>
      </c>
      <c r="I12" s="15" t="n">
        <f aca="false">ROUNDUP(H12*(1+Assumptions!$B$18),0)</f>
        <v>68</v>
      </c>
      <c r="J12" s="18"/>
      <c r="K12" s="7" t="s">
        <v>154</v>
      </c>
      <c r="L12" s="13" t="n">
        <v>1</v>
      </c>
    </row>
    <row r="13" customFormat="false" ht="15" hidden="false" customHeight="false" outlineLevel="0" collapsed="false">
      <c r="A13" s="7" t="s">
        <v>189</v>
      </c>
      <c r="B13" s="7" t="s">
        <v>190</v>
      </c>
      <c r="C13" s="7" t="s">
        <v>34</v>
      </c>
      <c r="D13" s="5" t="n">
        <f aca="false">$L13*INDEX(Assumptions!$B$23:$B$30,MATCH($K13,Assumptions!$A$23:$A$30,0))</f>
        <v>15</v>
      </c>
      <c r="E13" s="5" t="n">
        <f aca="false">$L13*INDEX(Assumptions!$C$23:$C$30,MATCH($K13,Assumptions!$A$23:$A$30,0))</f>
        <v>20</v>
      </c>
      <c r="F13" s="5" t="n">
        <f aca="false">$L13*INDEX(Assumptions!$D$23:$D$30,MATCH($K13,Assumptions!$A$23:$A$30,0))</f>
        <v>13</v>
      </c>
      <c r="G13" s="5" t="n">
        <f aca="false">$L13*INDEX(Assumptions!$E$23:$E$30,MATCH($K13,Assumptions!$A$23:$A$30,0))</f>
        <v>13</v>
      </c>
      <c r="H13" s="6" t="n">
        <f aca="false">SUM(D13:G13)</f>
        <v>61</v>
      </c>
      <c r="I13" s="15" t="n">
        <f aca="false">ROUNDUP(H13*(1+Assumptions!$B$18),0)</f>
        <v>68</v>
      </c>
      <c r="J13" s="18"/>
      <c r="K13" s="7" t="s">
        <v>154</v>
      </c>
      <c r="L13" s="13" t="n">
        <v>1</v>
      </c>
    </row>
    <row r="14" customFormat="false" ht="15" hidden="false" customHeight="false" outlineLevel="0" collapsed="false">
      <c r="A14" s="7" t="s">
        <v>191</v>
      </c>
      <c r="B14" s="7" t="s">
        <v>192</v>
      </c>
      <c r="C14" s="7" t="s">
        <v>34</v>
      </c>
      <c r="D14" s="5" t="n">
        <f aca="false">$L14*INDEX(Assumptions!$B$23:$B$30,MATCH($K14,Assumptions!$A$23:$A$30,0))</f>
        <v>15</v>
      </c>
      <c r="E14" s="5" t="n">
        <f aca="false">$L14*INDEX(Assumptions!$C$23:$C$30,MATCH($K14,Assumptions!$A$23:$A$30,0))</f>
        <v>20</v>
      </c>
      <c r="F14" s="5" t="n">
        <f aca="false">$L14*INDEX(Assumptions!$D$23:$D$30,MATCH($K14,Assumptions!$A$23:$A$30,0))</f>
        <v>13</v>
      </c>
      <c r="G14" s="5" t="n">
        <f aca="false">$L14*INDEX(Assumptions!$E$23:$E$30,MATCH($K14,Assumptions!$A$23:$A$30,0))</f>
        <v>13</v>
      </c>
      <c r="H14" s="6" t="n">
        <f aca="false">SUM(D14:G14)</f>
        <v>61</v>
      </c>
      <c r="I14" s="15" t="n">
        <f aca="false">ROUNDUP(H14*(1+Assumptions!$B$18),0)</f>
        <v>68</v>
      </c>
      <c r="J14" s="18"/>
      <c r="K14" s="7" t="s">
        <v>154</v>
      </c>
      <c r="L14" s="13" t="n">
        <v>1</v>
      </c>
    </row>
    <row r="15" customFormat="false" ht="15" hidden="false" customHeight="false" outlineLevel="0" collapsed="false">
      <c r="A15" s="7" t="s">
        <v>193</v>
      </c>
      <c r="B15" s="7" t="s">
        <v>194</v>
      </c>
      <c r="C15" s="7" t="s">
        <v>37</v>
      </c>
      <c r="D15" s="5" t="n">
        <f aca="false">$L15*INDEX(Assumptions!$B$23:$B$30,MATCH($K15,Assumptions!$A$23:$A$30,0))</f>
        <v>15</v>
      </c>
      <c r="E15" s="5" t="n">
        <f aca="false">$L15*INDEX(Assumptions!$C$23:$C$30,MATCH($K15,Assumptions!$A$23:$A$30,0))</f>
        <v>20</v>
      </c>
      <c r="F15" s="5" t="n">
        <f aca="false">$L15*INDEX(Assumptions!$D$23:$D$30,MATCH($K15,Assumptions!$A$23:$A$30,0))</f>
        <v>13</v>
      </c>
      <c r="G15" s="5" t="n">
        <f aca="false">$L15*INDEX(Assumptions!$E$23:$E$30,MATCH($K15,Assumptions!$A$23:$A$30,0))</f>
        <v>13</v>
      </c>
      <c r="H15" s="6" t="n">
        <f aca="false">SUM(D15:G15)</f>
        <v>61</v>
      </c>
      <c r="I15" s="15" t="n">
        <f aca="false">ROUNDUP(H15*(1+Assumptions!$B$18),0)</f>
        <v>68</v>
      </c>
      <c r="J15" s="18"/>
      <c r="K15" s="7" t="s">
        <v>154</v>
      </c>
      <c r="L15" s="13" t="n">
        <v>1</v>
      </c>
    </row>
    <row r="16" customFormat="false" ht="15" hidden="false" customHeight="false" outlineLevel="0" collapsed="false">
      <c r="A16" s="7" t="s">
        <v>195</v>
      </c>
      <c r="B16" s="7" t="s">
        <v>196</v>
      </c>
      <c r="C16" s="7" t="s">
        <v>23</v>
      </c>
      <c r="D16" s="5" t="n">
        <f aca="false">$L16*INDEX(Assumptions!$B$23:$B$30,MATCH($K16,Assumptions!$A$23:$A$30,0))</f>
        <v>15</v>
      </c>
      <c r="E16" s="5" t="n">
        <f aca="false">$L16*INDEX(Assumptions!$C$23:$C$30,MATCH($K16,Assumptions!$A$23:$A$30,0))</f>
        <v>20</v>
      </c>
      <c r="F16" s="5" t="n">
        <f aca="false">$L16*INDEX(Assumptions!$D$23:$D$30,MATCH($K16,Assumptions!$A$23:$A$30,0))</f>
        <v>13</v>
      </c>
      <c r="G16" s="5" t="n">
        <f aca="false">$L16*INDEX(Assumptions!$E$23:$E$30,MATCH($K16,Assumptions!$A$23:$A$30,0))</f>
        <v>13</v>
      </c>
      <c r="H16" s="6" t="n">
        <f aca="false">SUM(D16:G16)</f>
        <v>61</v>
      </c>
      <c r="I16" s="15" t="n">
        <f aca="false">ROUNDUP(H16*(1+Assumptions!$B$18),0)</f>
        <v>68</v>
      </c>
      <c r="J16" s="18" t="s">
        <v>197</v>
      </c>
      <c r="K16" s="7" t="s">
        <v>154</v>
      </c>
      <c r="L16" s="13" t="n">
        <v>1</v>
      </c>
    </row>
    <row r="17" customFormat="false" ht="15" hidden="false" customHeight="false" outlineLevel="0" collapsed="false">
      <c r="A17" s="7" t="s">
        <v>198</v>
      </c>
      <c r="B17" s="7" t="s">
        <v>199</v>
      </c>
      <c r="C17" s="7" t="s">
        <v>21</v>
      </c>
      <c r="D17" s="5" t="n">
        <f aca="false">$L17*INDEX(Assumptions!$B$23:$B$30,MATCH($K17,Assumptions!$A$23:$A$30,0))</f>
        <v>14</v>
      </c>
      <c r="E17" s="5" t="n">
        <f aca="false">$L17*INDEX(Assumptions!$C$23:$C$30,MATCH($K17,Assumptions!$A$23:$A$30,0))</f>
        <v>18</v>
      </c>
      <c r="F17" s="5" t="n">
        <f aca="false">$L17*INDEX(Assumptions!$D$23:$D$30,MATCH($K17,Assumptions!$A$23:$A$30,0))</f>
        <v>12</v>
      </c>
      <c r="G17" s="5" t="n">
        <f aca="false">$L17*INDEX(Assumptions!$E$23:$E$30,MATCH($K17,Assumptions!$A$23:$A$30,0))</f>
        <v>12</v>
      </c>
      <c r="H17" s="6" t="n">
        <f aca="false">SUM(D17:G17)</f>
        <v>56</v>
      </c>
      <c r="I17" s="15" t="n">
        <f aca="false">ROUNDUP(H17*(1+Assumptions!$B$18),0)</f>
        <v>62</v>
      </c>
      <c r="J17" s="18"/>
      <c r="K17" s="7" t="s">
        <v>153</v>
      </c>
      <c r="L17" s="13" t="n">
        <v>1</v>
      </c>
    </row>
    <row r="18" customFormat="false" ht="15" hidden="false" customHeight="false" outlineLevel="0" collapsed="false">
      <c r="A18" s="7" t="s">
        <v>200</v>
      </c>
      <c r="B18" s="7" t="s">
        <v>201</v>
      </c>
      <c r="C18" s="7" t="s">
        <v>22</v>
      </c>
      <c r="D18" s="5" t="n">
        <f aca="false">$L18*INDEX(Assumptions!$B$23:$B$30,MATCH($K18,Assumptions!$A$23:$A$30,0))</f>
        <v>14</v>
      </c>
      <c r="E18" s="5" t="n">
        <f aca="false">$L18*INDEX(Assumptions!$C$23:$C$30,MATCH($K18,Assumptions!$A$23:$A$30,0))</f>
        <v>18</v>
      </c>
      <c r="F18" s="5" t="n">
        <f aca="false">$L18*INDEX(Assumptions!$D$23:$D$30,MATCH($K18,Assumptions!$A$23:$A$30,0))</f>
        <v>12</v>
      </c>
      <c r="G18" s="5" t="n">
        <f aca="false">$L18*INDEX(Assumptions!$E$23:$E$30,MATCH($K18,Assumptions!$A$23:$A$30,0))</f>
        <v>12</v>
      </c>
      <c r="H18" s="6" t="n">
        <f aca="false">SUM(D18:G18)</f>
        <v>56</v>
      </c>
      <c r="I18" s="15" t="n">
        <f aca="false">ROUNDUP(H18*(1+Assumptions!$B$18),0)</f>
        <v>62</v>
      </c>
      <c r="J18" s="18"/>
      <c r="K18" s="7" t="s">
        <v>153</v>
      </c>
      <c r="L18" s="13" t="n">
        <v>1</v>
      </c>
    </row>
    <row r="19" customFormat="false" ht="15" hidden="false" customHeight="false" outlineLevel="0" collapsed="false">
      <c r="A19" s="7" t="s">
        <v>202</v>
      </c>
      <c r="B19" s="7" t="s">
        <v>203</v>
      </c>
      <c r="C19" s="7" t="s">
        <v>24</v>
      </c>
      <c r="D19" s="5" t="n">
        <f aca="false">$L19*INDEX(Assumptions!$B$23:$B$30,MATCH($K19,Assumptions!$A$23:$A$30,0))</f>
        <v>14</v>
      </c>
      <c r="E19" s="5" t="n">
        <f aca="false">$L19*INDEX(Assumptions!$C$23:$C$30,MATCH($K19,Assumptions!$A$23:$A$30,0))</f>
        <v>18</v>
      </c>
      <c r="F19" s="5" t="n">
        <f aca="false">$L19*INDEX(Assumptions!$D$23:$D$30,MATCH($K19,Assumptions!$A$23:$A$30,0))</f>
        <v>12</v>
      </c>
      <c r="G19" s="5" t="n">
        <f aca="false">$L19*INDEX(Assumptions!$E$23:$E$30,MATCH($K19,Assumptions!$A$23:$A$30,0))</f>
        <v>12</v>
      </c>
      <c r="H19" s="6" t="n">
        <f aca="false">SUM(D19:G19)</f>
        <v>56</v>
      </c>
      <c r="I19" s="15" t="n">
        <f aca="false">ROUNDUP(H19*(1+Assumptions!$B$18),0)</f>
        <v>62</v>
      </c>
      <c r="J19" s="18"/>
      <c r="K19" s="7" t="s">
        <v>153</v>
      </c>
      <c r="L19" s="13" t="n">
        <v>1</v>
      </c>
    </row>
    <row r="20" customFormat="false" ht="15" hidden="false" customHeight="false" outlineLevel="0" collapsed="false">
      <c r="A20" s="7" t="s">
        <v>204</v>
      </c>
      <c r="B20" s="7" t="s">
        <v>205</v>
      </c>
      <c r="C20" s="7" t="s">
        <v>24</v>
      </c>
      <c r="D20" s="5" t="n">
        <f aca="false">$L20*INDEX(Assumptions!$B$23:$B$30,MATCH($K20,Assumptions!$A$23:$A$30,0))</f>
        <v>14</v>
      </c>
      <c r="E20" s="5" t="n">
        <f aca="false">$L20*INDEX(Assumptions!$C$23:$C$30,MATCH($K20,Assumptions!$A$23:$A$30,0))</f>
        <v>18</v>
      </c>
      <c r="F20" s="5" t="n">
        <f aca="false">$L20*INDEX(Assumptions!$D$23:$D$30,MATCH($K20,Assumptions!$A$23:$A$30,0))</f>
        <v>12</v>
      </c>
      <c r="G20" s="5" t="n">
        <f aca="false">$L20*INDEX(Assumptions!$E$23:$E$30,MATCH($K20,Assumptions!$A$23:$A$30,0))</f>
        <v>12</v>
      </c>
      <c r="H20" s="6" t="n">
        <f aca="false">SUM(D20:G20)</f>
        <v>56</v>
      </c>
      <c r="I20" s="15" t="n">
        <f aca="false">ROUNDUP(H20*(1+Assumptions!$B$18),0)</f>
        <v>62</v>
      </c>
      <c r="J20" s="18"/>
      <c r="K20" s="7" t="s">
        <v>153</v>
      </c>
      <c r="L20" s="13" t="n">
        <v>1</v>
      </c>
    </row>
    <row r="21" customFormat="false" ht="15" hidden="false" customHeight="false" outlineLevel="0" collapsed="false">
      <c r="A21" s="7" t="s">
        <v>206</v>
      </c>
      <c r="B21" s="7" t="s">
        <v>207</v>
      </c>
      <c r="C21" s="7" t="s">
        <v>24</v>
      </c>
      <c r="D21" s="5" t="n">
        <f aca="false">$L21*INDEX(Assumptions!$B$23:$B$30,MATCH($K21,Assumptions!$A$23:$A$30,0))</f>
        <v>14</v>
      </c>
      <c r="E21" s="5" t="n">
        <f aca="false">$L21*INDEX(Assumptions!$C$23:$C$30,MATCH($K21,Assumptions!$A$23:$A$30,0))</f>
        <v>18</v>
      </c>
      <c r="F21" s="5" t="n">
        <f aca="false">$L21*INDEX(Assumptions!$D$23:$D$30,MATCH($K21,Assumptions!$A$23:$A$30,0))</f>
        <v>12</v>
      </c>
      <c r="G21" s="5" t="n">
        <f aca="false">$L21*INDEX(Assumptions!$E$23:$E$30,MATCH($K21,Assumptions!$A$23:$A$30,0))</f>
        <v>12</v>
      </c>
      <c r="H21" s="6" t="n">
        <f aca="false">SUM(D21:G21)</f>
        <v>56</v>
      </c>
      <c r="I21" s="15" t="n">
        <f aca="false">ROUNDUP(H21*(1+Assumptions!$B$18),0)</f>
        <v>62</v>
      </c>
      <c r="J21" s="18" t="s">
        <v>208</v>
      </c>
      <c r="K21" s="7" t="s">
        <v>153</v>
      </c>
      <c r="L21" s="13" t="n">
        <v>1</v>
      </c>
    </row>
    <row r="22" customFormat="false" ht="15" hidden="false" customHeight="false" outlineLevel="0" collapsed="false">
      <c r="A22" s="7" t="s">
        <v>209</v>
      </c>
      <c r="B22" s="7" t="s">
        <v>210</v>
      </c>
      <c r="C22" s="7" t="s">
        <v>36</v>
      </c>
      <c r="D22" s="5" t="n">
        <f aca="false">$L22*INDEX(Assumptions!$B$23:$B$30,MATCH($K22,Assumptions!$A$23:$A$30,0))</f>
        <v>14</v>
      </c>
      <c r="E22" s="5" t="n">
        <f aca="false">$L22*INDEX(Assumptions!$C$23:$C$30,MATCH($K22,Assumptions!$A$23:$A$30,0))</f>
        <v>18</v>
      </c>
      <c r="F22" s="5" t="n">
        <f aca="false">$L22*INDEX(Assumptions!$D$23:$D$30,MATCH($K22,Assumptions!$A$23:$A$30,0))</f>
        <v>12</v>
      </c>
      <c r="G22" s="5" t="n">
        <f aca="false">$L22*INDEX(Assumptions!$E$23:$E$30,MATCH($K22,Assumptions!$A$23:$A$30,0))</f>
        <v>12</v>
      </c>
      <c r="H22" s="6" t="n">
        <f aca="false">SUM(D22:G22)</f>
        <v>56</v>
      </c>
      <c r="I22" s="15" t="n">
        <f aca="false">ROUNDUP(H22*(1+Assumptions!$B$18),0)</f>
        <v>62</v>
      </c>
      <c r="J22" s="18"/>
      <c r="K22" s="7" t="s">
        <v>153</v>
      </c>
      <c r="L22" s="13" t="n">
        <v>1</v>
      </c>
    </row>
    <row r="23" customFormat="false" ht="15" hidden="false" customHeight="false" outlineLevel="0" collapsed="false">
      <c r="A23" s="7" t="s">
        <v>211</v>
      </c>
      <c r="B23" s="7" t="s">
        <v>212</v>
      </c>
      <c r="C23" s="7" t="s">
        <v>44</v>
      </c>
      <c r="D23" s="5" t="n">
        <f aca="false">$L23*INDEX(Assumptions!$B$23:$B$30,MATCH($K23,Assumptions!$A$23:$A$30,0))</f>
        <v>14</v>
      </c>
      <c r="E23" s="5" t="n">
        <f aca="false">$L23*INDEX(Assumptions!$C$23:$C$30,MATCH($K23,Assumptions!$A$23:$A$30,0))</f>
        <v>18</v>
      </c>
      <c r="F23" s="5" t="n">
        <f aca="false">$L23*INDEX(Assumptions!$D$23:$D$30,MATCH($K23,Assumptions!$A$23:$A$30,0))</f>
        <v>12</v>
      </c>
      <c r="G23" s="5" t="n">
        <f aca="false">$L23*INDEX(Assumptions!$E$23:$E$30,MATCH($K23,Assumptions!$A$23:$A$30,0))</f>
        <v>12</v>
      </c>
      <c r="H23" s="6" t="n">
        <f aca="false">SUM(D23:G23)</f>
        <v>56</v>
      </c>
      <c r="I23" s="15" t="n">
        <f aca="false">ROUNDUP(H23*(1+Assumptions!$B$18),0)</f>
        <v>62</v>
      </c>
      <c r="J23" s="18"/>
      <c r="K23" s="7" t="s">
        <v>153</v>
      </c>
      <c r="L23" s="13" t="n">
        <v>1</v>
      </c>
    </row>
    <row r="24" customFormat="false" ht="15" hidden="false" customHeight="false" outlineLevel="0" collapsed="false">
      <c r="A24" s="7" t="s">
        <v>213</v>
      </c>
      <c r="B24" s="7" t="s">
        <v>214</v>
      </c>
      <c r="C24" s="7" t="s">
        <v>43</v>
      </c>
      <c r="D24" s="5" t="n">
        <f aca="false">$L24*INDEX(Assumptions!$B$23:$B$30,MATCH($K24,Assumptions!$A$23:$A$30,0))</f>
        <v>14</v>
      </c>
      <c r="E24" s="5" t="n">
        <f aca="false">$L24*INDEX(Assumptions!$C$23:$C$30,MATCH($K24,Assumptions!$A$23:$A$30,0))</f>
        <v>18</v>
      </c>
      <c r="F24" s="5" t="n">
        <f aca="false">$L24*INDEX(Assumptions!$D$23:$D$30,MATCH($K24,Assumptions!$A$23:$A$30,0))</f>
        <v>12</v>
      </c>
      <c r="G24" s="5" t="n">
        <f aca="false">$L24*INDEX(Assumptions!$E$23:$E$30,MATCH($K24,Assumptions!$A$23:$A$30,0))</f>
        <v>12</v>
      </c>
      <c r="H24" s="6" t="n">
        <f aca="false">SUM(D24:G24)</f>
        <v>56</v>
      </c>
      <c r="I24" s="15" t="n">
        <f aca="false">ROUNDUP(H24*(1+Assumptions!$B$18),0)</f>
        <v>62</v>
      </c>
      <c r="J24" s="18"/>
      <c r="K24" s="7" t="s">
        <v>153</v>
      </c>
      <c r="L24" s="13" t="n">
        <v>1</v>
      </c>
    </row>
    <row r="25" customFormat="false" ht="15" hidden="false" customHeight="false" outlineLevel="0" collapsed="false">
      <c r="A25" s="7" t="s">
        <v>215</v>
      </c>
      <c r="B25" s="7" t="s">
        <v>215</v>
      </c>
      <c r="C25" s="7" t="s">
        <v>46</v>
      </c>
      <c r="D25" s="5" t="n">
        <f aca="false">$L25*INDEX(Assumptions!$B$23:$B$30,MATCH($K25,Assumptions!$A$23:$A$30,0))</f>
        <v>14</v>
      </c>
      <c r="E25" s="5" t="n">
        <f aca="false">$L25*INDEX(Assumptions!$C$23:$C$30,MATCH($K25,Assumptions!$A$23:$A$30,0))</f>
        <v>18</v>
      </c>
      <c r="F25" s="5" t="n">
        <f aca="false">$L25*INDEX(Assumptions!$D$23:$D$30,MATCH($K25,Assumptions!$A$23:$A$30,0))</f>
        <v>12</v>
      </c>
      <c r="G25" s="5" t="n">
        <f aca="false">$L25*INDEX(Assumptions!$E$23:$E$30,MATCH($K25,Assumptions!$A$23:$A$30,0))</f>
        <v>12</v>
      </c>
      <c r="H25" s="6" t="n">
        <f aca="false">SUM(D25:G25)</f>
        <v>56</v>
      </c>
      <c r="I25" s="15" t="n">
        <f aca="false">ROUNDUP(H25*(1+Assumptions!$B$18),0)</f>
        <v>62</v>
      </c>
      <c r="J25" s="18"/>
      <c r="K25" s="7" t="s">
        <v>153</v>
      </c>
      <c r="L25" s="13" t="n">
        <v>1</v>
      </c>
    </row>
    <row r="26" customFormat="false" ht="15" hidden="false" customHeight="false" outlineLevel="0" collapsed="false">
      <c r="A26" s="7" t="s">
        <v>216</v>
      </c>
      <c r="B26" s="7" t="s">
        <v>217</v>
      </c>
      <c r="C26" s="7" t="s">
        <v>46</v>
      </c>
      <c r="D26" s="5" t="n">
        <f aca="false">$L26*INDEX(Assumptions!$B$23:$B$30,MATCH($K26,Assumptions!$A$23:$A$30,0))</f>
        <v>14</v>
      </c>
      <c r="E26" s="5" t="n">
        <f aca="false">$L26*INDEX(Assumptions!$C$23:$C$30,MATCH($K26,Assumptions!$A$23:$A$30,0))</f>
        <v>18</v>
      </c>
      <c r="F26" s="5" t="n">
        <f aca="false">$L26*INDEX(Assumptions!$D$23:$D$30,MATCH($K26,Assumptions!$A$23:$A$30,0))</f>
        <v>12</v>
      </c>
      <c r="G26" s="5" t="n">
        <f aca="false">$L26*INDEX(Assumptions!$E$23:$E$30,MATCH($K26,Assumptions!$A$23:$A$30,0))</f>
        <v>12</v>
      </c>
      <c r="H26" s="6" t="n">
        <f aca="false">SUM(D26:G26)</f>
        <v>56</v>
      </c>
      <c r="I26" s="15" t="n">
        <f aca="false">ROUNDUP(H26*(1+Assumptions!$B$18),0)</f>
        <v>62</v>
      </c>
      <c r="J26" s="18"/>
      <c r="K26" s="7" t="s">
        <v>153</v>
      </c>
      <c r="L26" s="13" t="n">
        <v>1</v>
      </c>
    </row>
    <row r="27" customFormat="false" ht="15" hidden="false" customHeight="false" outlineLevel="0" collapsed="false">
      <c r="A27" s="7" t="s">
        <v>218</v>
      </c>
      <c r="B27" s="7" t="s">
        <v>219</v>
      </c>
      <c r="C27" s="7" t="s">
        <v>46</v>
      </c>
      <c r="D27" s="5" t="n">
        <f aca="false">$L27*INDEX(Assumptions!$B$23:$B$30,MATCH($K27,Assumptions!$A$23:$A$30,0))</f>
        <v>14</v>
      </c>
      <c r="E27" s="5" t="n">
        <f aca="false">$L27*INDEX(Assumptions!$C$23:$C$30,MATCH($K27,Assumptions!$A$23:$A$30,0))</f>
        <v>18</v>
      </c>
      <c r="F27" s="5" t="n">
        <f aca="false">$L27*INDEX(Assumptions!$D$23:$D$30,MATCH($K27,Assumptions!$A$23:$A$30,0))</f>
        <v>12</v>
      </c>
      <c r="G27" s="5" t="n">
        <f aca="false">$L27*INDEX(Assumptions!$E$23:$E$30,MATCH($K27,Assumptions!$A$23:$A$30,0))</f>
        <v>12</v>
      </c>
      <c r="H27" s="6" t="n">
        <f aca="false">SUM(D27:G27)</f>
        <v>56</v>
      </c>
      <c r="I27" s="15" t="n">
        <f aca="false">ROUNDUP(H27*(1+Assumptions!$B$18),0)</f>
        <v>62</v>
      </c>
      <c r="J27" s="18"/>
      <c r="K27" s="7" t="s">
        <v>153</v>
      </c>
      <c r="L27" s="13" t="n">
        <v>1</v>
      </c>
    </row>
    <row r="28" customFormat="false" ht="15" hidden="false" customHeight="false" outlineLevel="0" collapsed="false">
      <c r="A28" s="7" t="s">
        <v>220</v>
      </c>
      <c r="B28" s="7" t="s">
        <v>221</v>
      </c>
      <c r="C28" s="7" t="s">
        <v>38</v>
      </c>
      <c r="D28" s="5" t="n">
        <f aca="false">$L28*INDEX(Assumptions!$B$23:$B$30,MATCH($K28,Assumptions!$A$23:$A$30,0))</f>
        <v>42</v>
      </c>
      <c r="E28" s="5" t="n">
        <f aca="false">$L28*INDEX(Assumptions!$C$23:$C$30,MATCH($K28,Assumptions!$A$23:$A$30,0))</f>
        <v>54</v>
      </c>
      <c r="F28" s="5" t="n">
        <f aca="false">$L28*INDEX(Assumptions!$D$23:$D$30,MATCH($K28,Assumptions!$A$23:$A$30,0))</f>
        <v>36</v>
      </c>
      <c r="G28" s="5" t="n">
        <f aca="false">$L28*INDEX(Assumptions!$E$23:$E$30,MATCH($K28,Assumptions!$A$23:$A$30,0))</f>
        <v>36</v>
      </c>
      <c r="H28" s="6" t="n">
        <f aca="false">SUM(D28:G28)</f>
        <v>168</v>
      </c>
      <c r="I28" s="15" t="n">
        <f aca="false">ROUNDUP(H28*(1+Assumptions!$B$18),0)</f>
        <v>185</v>
      </c>
      <c r="J28" s="18" t="s">
        <v>222</v>
      </c>
      <c r="K28" s="7" t="s">
        <v>158</v>
      </c>
      <c r="L28" s="13" t="n">
        <v>1</v>
      </c>
    </row>
    <row r="29" customFormat="false" ht="15" hidden="false" customHeight="false" outlineLevel="0" collapsed="false">
      <c r="A29" s="7" t="s">
        <v>223</v>
      </c>
      <c r="B29" s="7" t="s">
        <v>224</v>
      </c>
      <c r="C29" s="7" t="s">
        <v>35</v>
      </c>
      <c r="D29" s="5" t="n">
        <f aca="false">$L29*INDEX(Assumptions!$B$23:$B$30,MATCH($K29,Assumptions!$A$23:$A$30,0))</f>
        <v>4</v>
      </c>
      <c r="E29" s="5" t="n">
        <f aca="false">$L29*INDEX(Assumptions!$C$23:$C$30,MATCH($K29,Assumptions!$A$23:$A$30,0))</f>
        <v>6</v>
      </c>
      <c r="F29" s="5" t="n">
        <f aca="false">$L29*INDEX(Assumptions!$D$23:$D$30,MATCH($K29,Assumptions!$A$23:$A$30,0))</f>
        <v>3</v>
      </c>
      <c r="G29" s="5" t="n">
        <f aca="false">$L29*INDEX(Assumptions!$E$23:$E$30,MATCH($K29,Assumptions!$A$23:$A$30,0))</f>
        <v>3</v>
      </c>
      <c r="H29" s="6" t="n">
        <f aca="false">SUM(D29:G29)</f>
        <v>16</v>
      </c>
      <c r="I29" s="15" t="n">
        <f aca="false">ROUNDUP(H29*(1+Assumptions!$B$18),0)</f>
        <v>18</v>
      </c>
      <c r="J29" s="18" t="s">
        <v>225</v>
      </c>
      <c r="K29" s="7" t="s">
        <v>155</v>
      </c>
      <c r="L29" s="13" t="n">
        <v>1</v>
      </c>
    </row>
    <row r="30" customFormat="false" ht="15" hidden="false" customHeight="false" outlineLevel="0" collapsed="false">
      <c r="A30" s="7" t="s">
        <v>226</v>
      </c>
      <c r="B30" s="7" t="s">
        <v>227</v>
      </c>
      <c r="C30" s="7" t="s">
        <v>36</v>
      </c>
      <c r="D30" s="5" t="n">
        <f aca="false">$L30*INDEX(Assumptions!$B$23:$B$30,MATCH($K30,Assumptions!$A$23:$A$30,0))</f>
        <v>4</v>
      </c>
      <c r="E30" s="5" t="n">
        <f aca="false">$L30*INDEX(Assumptions!$C$23:$C$30,MATCH($K30,Assumptions!$A$23:$A$30,0))</f>
        <v>6</v>
      </c>
      <c r="F30" s="5" t="n">
        <f aca="false">$L30*INDEX(Assumptions!$D$23:$D$30,MATCH($K30,Assumptions!$A$23:$A$30,0))</f>
        <v>3</v>
      </c>
      <c r="G30" s="5" t="n">
        <f aca="false">$L30*INDEX(Assumptions!$E$23:$E$30,MATCH($K30,Assumptions!$A$23:$A$30,0))</f>
        <v>3</v>
      </c>
      <c r="H30" s="6" t="n">
        <f aca="false">SUM(D30:G30)</f>
        <v>16</v>
      </c>
      <c r="I30" s="15" t="n">
        <f aca="false">ROUNDUP(H30*(1+Assumptions!$B$18),0)</f>
        <v>18</v>
      </c>
      <c r="J30" s="18"/>
      <c r="K30" s="7" t="s">
        <v>155</v>
      </c>
      <c r="L30" s="13" t="n">
        <v>1</v>
      </c>
    </row>
    <row r="31" customFormat="false" ht="15" hidden="false" customHeight="false" outlineLevel="0" collapsed="false">
      <c r="A31" s="7" t="s">
        <v>228</v>
      </c>
      <c r="B31" s="7" t="s">
        <v>229</v>
      </c>
      <c r="C31" s="7" t="s">
        <v>34</v>
      </c>
      <c r="D31" s="5" t="n">
        <f aca="false">$L31*INDEX(Assumptions!$B$23:$B$30,MATCH($K31,Assumptions!$A$23:$A$30,0))</f>
        <v>4</v>
      </c>
      <c r="E31" s="5" t="n">
        <f aca="false">$L31*INDEX(Assumptions!$C$23:$C$30,MATCH($K31,Assumptions!$A$23:$A$30,0))</f>
        <v>6</v>
      </c>
      <c r="F31" s="5" t="n">
        <f aca="false">$L31*INDEX(Assumptions!$D$23:$D$30,MATCH($K31,Assumptions!$A$23:$A$30,0))</f>
        <v>3</v>
      </c>
      <c r="G31" s="5" t="n">
        <f aca="false">$L31*INDEX(Assumptions!$E$23:$E$30,MATCH($K31,Assumptions!$A$23:$A$30,0))</f>
        <v>3</v>
      </c>
      <c r="H31" s="6" t="n">
        <f aca="false">SUM(D31:G31)</f>
        <v>16</v>
      </c>
      <c r="I31" s="15" t="n">
        <f aca="false">ROUNDUP(H31*(1+Assumptions!$B$18),0)</f>
        <v>18</v>
      </c>
      <c r="J31" s="18"/>
      <c r="K31" s="7" t="s">
        <v>155</v>
      </c>
      <c r="L31" s="13" t="n">
        <v>1</v>
      </c>
    </row>
    <row r="32" customFormat="false" ht="15" hidden="false" customHeight="false" outlineLevel="0" collapsed="false">
      <c r="A32" s="7" t="s">
        <v>230</v>
      </c>
      <c r="B32" s="7" t="s">
        <v>231</v>
      </c>
      <c r="C32" s="7" t="s">
        <v>24</v>
      </c>
      <c r="D32" s="5" t="n">
        <f aca="false">$L32*INDEX(Assumptions!$B$23:$B$30,MATCH($K32,Assumptions!$A$23:$A$30,0))</f>
        <v>4</v>
      </c>
      <c r="E32" s="5" t="n">
        <f aca="false">$L32*INDEX(Assumptions!$C$23:$C$30,MATCH($K32,Assumptions!$A$23:$A$30,0))</f>
        <v>6</v>
      </c>
      <c r="F32" s="5" t="n">
        <f aca="false">$L32*INDEX(Assumptions!$D$23:$D$30,MATCH($K32,Assumptions!$A$23:$A$30,0))</f>
        <v>3</v>
      </c>
      <c r="G32" s="5" t="n">
        <f aca="false">$L32*INDEX(Assumptions!$E$23:$E$30,MATCH($K32,Assumptions!$A$23:$A$30,0))</f>
        <v>3</v>
      </c>
      <c r="H32" s="6" t="n">
        <f aca="false">SUM(D32:G32)</f>
        <v>16</v>
      </c>
      <c r="I32" s="15" t="n">
        <f aca="false">ROUNDUP(H32*(1+Assumptions!$B$18),0)</f>
        <v>18</v>
      </c>
      <c r="J32" s="18"/>
      <c r="K32" s="7" t="s">
        <v>155</v>
      </c>
      <c r="L32" s="13" t="n">
        <v>1</v>
      </c>
    </row>
    <row r="33" customFormat="false" ht="15" hidden="false" customHeight="false" outlineLevel="0" collapsed="false">
      <c r="A33" s="7" t="s">
        <v>232</v>
      </c>
      <c r="B33" s="7" t="s">
        <v>233</v>
      </c>
      <c r="C33" s="7" t="s">
        <v>37</v>
      </c>
      <c r="D33" s="5" t="n">
        <f aca="false">$L33*INDEX(Assumptions!$B$23:$B$30,MATCH($K33,Assumptions!$A$23:$A$30,0))</f>
        <v>4</v>
      </c>
      <c r="E33" s="5" t="n">
        <f aca="false">$L33*INDEX(Assumptions!$C$23:$C$30,MATCH($K33,Assumptions!$A$23:$A$30,0))</f>
        <v>6</v>
      </c>
      <c r="F33" s="5" t="n">
        <f aca="false">$L33*INDEX(Assumptions!$D$23:$D$30,MATCH($K33,Assumptions!$A$23:$A$30,0))</f>
        <v>3</v>
      </c>
      <c r="G33" s="5" t="n">
        <f aca="false">$L33*INDEX(Assumptions!$E$23:$E$30,MATCH($K33,Assumptions!$A$23:$A$30,0))</f>
        <v>3</v>
      </c>
      <c r="H33" s="6" t="n">
        <f aca="false">SUM(D33:G33)</f>
        <v>16</v>
      </c>
      <c r="I33" s="15" t="n">
        <f aca="false">ROUNDUP(H33*(1+Assumptions!$B$18),0)</f>
        <v>18</v>
      </c>
      <c r="J33" s="18"/>
      <c r="K33" s="7" t="s">
        <v>155</v>
      </c>
      <c r="L33" s="13" t="n">
        <v>1</v>
      </c>
    </row>
    <row r="34" customFormat="false" ht="15" hidden="false" customHeight="false" outlineLevel="0" collapsed="false">
      <c r="A34" s="7" t="s">
        <v>234</v>
      </c>
      <c r="B34" s="7" t="s">
        <v>235</v>
      </c>
      <c r="C34" s="7" t="s">
        <v>45</v>
      </c>
      <c r="D34" s="5" t="n">
        <f aca="false">$L34*INDEX(Assumptions!$B$23:$B$30,MATCH($K34,Assumptions!$A$23:$A$30,0))</f>
        <v>4</v>
      </c>
      <c r="E34" s="5" t="n">
        <f aca="false">$L34*INDEX(Assumptions!$C$23:$C$30,MATCH($K34,Assumptions!$A$23:$A$30,0))</f>
        <v>6</v>
      </c>
      <c r="F34" s="5" t="n">
        <f aca="false">$L34*INDEX(Assumptions!$D$23:$D$30,MATCH($K34,Assumptions!$A$23:$A$30,0))</f>
        <v>3</v>
      </c>
      <c r="G34" s="5" t="n">
        <f aca="false">$L34*INDEX(Assumptions!$E$23:$E$30,MATCH($K34,Assumptions!$A$23:$A$30,0))</f>
        <v>3</v>
      </c>
      <c r="H34" s="6" t="n">
        <f aca="false">SUM(D34:G34)</f>
        <v>16</v>
      </c>
      <c r="I34" s="15" t="n">
        <f aca="false">ROUNDUP(H34*(1+Assumptions!$B$18),0)</f>
        <v>18</v>
      </c>
      <c r="J34" s="18" t="s">
        <v>236</v>
      </c>
      <c r="K34" s="7" t="s">
        <v>155</v>
      </c>
      <c r="L34" s="13" t="n">
        <v>1</v>
      </c>
    </row>
    <row r="35" customFormat="false" ht="15" hidden="false" customHeight="false" outlineLevel="0" collapsed="false">
      <c r="A35" s="7" t="s">
        <v>237</v>
      </c>
      <c r="B35" s="7" t="s">
        <v>238</v>
      </c>
      <c r="C35" s="7" t="s">
        <v>28</v>
      </c>
      <c r="D35" s="5" t="n">
        <f aca="false">$L35*INDEX(Assumptions!$B$23:$B$30,MATCH($K35,Assumptions!$A$23:$A$30,0))</f>
        <v>28</v>
      </c>
      <c r="E35" s="5" t="n">
        <f aca="false">$L35*INDEX(Assumptions!$C$23:$C$30,MATCH($K35,Assumptions!$A$23:$A$30,0))</f>
        <v>36</v>
      </c>
      <c r="F35" s="5" t="n">
        <f aca="false">$L35*INDEX(Assumptions!$D$23:$D$30,MATCH($K35,Assumptions!$A$23:$A$30,0))</f>
        <v>24</v>
      </c>
      <c r="G35" s="5" t="n">
        <f aca="false">$L35*INDEX(Assumptions!$E$23:$E$30,MATCH($K35,Assumptions!$A$23:$A$30,0))</f>
        <v>24</v>
      </c>
      <c r="H35" s="6" t="n">
        <f aca="false">SUM(D35:G35)</f>
        <v>112</v>
      </c>
      <c r="I35" s="15" t="n">
        <f aca="false">ROUNDUP(H35*(1+Assumptions!$B$18),0)</f>
        <v>124</v>
      </c>
      <c r="J35" s="18"/>
      <c r="K35" s="7" t="s">
        <v>157</v>
      </c>
      <c r="L35" s="13" t="n">
        <v>2</v>
      </c>
    </row>
    <row r="36" customFormat="false" ht="15" hidden="false" customHeight="false" outlineLevel="0" collapsed="false">
      <c r="A36" s="7" t="s">
        <v>239</v>
      </c>
      <c r="B36" s="7" t="s">
        <v>240</v>
      </c>
      <c r="C36" s="7" t="s">
        <v>31</v>
      </c>
      <c r="D36" s="5" t="n">
        <f aca="false">$L36*INDEX(Assumptions!$B$23:$B$30,MATCH($K36,Assumptions!$A$23:$A$30,0))</f>
        <v>14</v>
      </c>
      <c r="E36" s="5" t="n">
        <f aca="false">$L36*INDEX(Assumptions!$C$23:$C$30,MATCH($K36,Assumptions!$A$23:$A$30,0))</f>
        <v>18</v>
      </c>
      <c r="F36" s="5" t="n">
        <f aca="false">$L36*INDEX(Assumptions!$D$23:$D$30,MATCH($K36,Assumptions!$A$23:$A$30,0))</f>
        <v>12</v>
      </c>
      <c r="G36" s="5" t="n">
        <f aca="false">$L36*INDEX(Assumptions!$E$23:$E$30,MATCH($K36,Assumptions!$A$23:$A$30,0))</f>
        <v>12</v>
      </c>
      <c r="H36" s="6" t="n">
        <f aca="false">SUM(D36:G36)</f>
        <v>56</v>
      </c>
      <c r="I36" s="15" t="n">
        <f aca="false">ROUNDUP(H36*(1+Assumptions!$B$18),0)</f>
        <v>62</v>
      </c>
      <c r="J36" s="18"/>
      <c r="K36" s="7" t="s">
        <v>157</v>
      </c>
      <c r="L36" s="13" t="n">
        <v>1</v>
      </c>
    </row>
    <row r="37" customFormat="false" ht="15" hidden="false" customHeight="false" outlineLevel="0" collapsed="false">
      <c r="A37" s="7" t="s">
        <v>241</v>
      </c>
      <c r="B37" s="7" t="s">
        <v>242</v>
      </c>
      <c r="C37" s="7" t="s">
        <v>47</v>
      </c>
      <c r="D37" s="5" t="n">
        <f aca="false">$L37*INDEX(Assumptions!$B$23:$B$30,MATCH($K37,Assumptions!$A$23:$A$30,0))</f>
        <v>15</v>
      </c>
      <c r="E37" s="5" t="n">
        <f aca="false">$L37*INDEX(Assumptions!$C$23:$C$30,MATCH($K37,Assumptions!$A$23:$A$30,0))</f>
        <v>20</v>
      </c>
      <c r="F37" s="5" t="n">
        <f aca="false">$L37*INDEX(Assumptions!$D$23:$D$30,MATCH($K37,Assumptions!$A$23:$A$30,0))</f>
        <v>13</v>
      </c>
      <c r="G37" s="5" t="n">
        <f aca="false">$L37*INDEX(Assumptions!$E$23:$E$30,MATCH($K37,Assumptions!$A$23:$A$30,0))</f>
        <v>13</v>
      </c>
      <c r="H37" s="6" t="n">
        <f aca="false">SUM(D37:G37)</f>
        <v>61</v>
      </c>
      <c r="I37" s="15" t="n">
        <f aca="false">ROUNDUP(H37*(1+Assumptions!$B$18),0)</f>
        <v>68</v>
      </c>
      <c r="J37" s="18" t="s">
        <v>243</v>
      </c>
      <c r="K37" s="7" t="s">
        <v>156</v>
      </c>
      <c r="L37" s="13" t="n">
        <v>1</v>
      </c>
    </row>
    <row r="38" customFormat="false" ht="15" hidden="false" customHeight="false" outlineLevel="0" collapsed="false">
      <c r="A38" s="7" t="s">
        <v>244</v>
      </c>
      <c r="B38" s="7" t="s">
        <v>245</v>
      </c>
      <c r="C38" s="7" t="s">
        <v>51</v>
      </c>
      <c r="D38" s="5" t="n">
        <f aca="false">$L38*INDEX(Assumptions!$B$23:$B$30,MATCH($K38,Assumptions!$A$23:$A$30,0))</f>
        <v>45</v>
      </c>
      <c r="E38" s="5" t="n">
        <f aca="false">$L38*INDEX(Assumptions!$C$23:$C$30,MATCH($K38,Assumptions!$A$23:$A$30,0))</f>
        <v>60</v>
      </c>
      <c r="F38" s="5" t="n">
        <f aca="false">$L38*INDEX(Assumptions!$D$23:$D$30,MATCH($K38,Assumptions!$A$23:$A$30,0))</f>
        <v>39</v>
      </c>
      <c r="G38" s="5" t="n">
        <f aca="false">$L38*INDEX(Assumptions!$E$23:$E$30,MATCH($K38,Assumptions!$A$23:$A$30,0))</f>
        <v>39</v>
      </c>
      <c r="H38" s="6" t="n">
        <f aca="false">SUM(D38:G38)</f>
        <v>183</v>
      </c>
      <c r="I38" s="15" t="n">
        <f aca="false">ROUNDUP(H38*(1+Assumptions!$B$18),0)</f>
        <v>202</v>
      </c>
      <c r="J38" s="18" t="s">
        <v>246</v>
      </c>
      <c r="K38" s="7" t="s">
        <v>154</v>
      </c>
      <c r="L38" s="13" t="n">
        <v>3</v>
      </c>
    </row>
    <row r="39" customFormat="false" ht="15" hidden="false" customHeight="false" outlineLevel="0" collapsed="false">
      <c r="A39" s="7" t="s">
        <v>247</v>
      </c>
      <c r="B39" s="7" t="s">
        <v>248</v>
      </c>
      <c r="C39" s="7" t="s">
        <v>51</v>
      </c>
      <c r="D39" s="5" t="n">
        <f aca="false">$L39*INDEX(Assumptions!$B$23:$B$30,MATCH($K39,Assumptions!$A$23:$A$30,0))</f>
        <v>15</v>
      </c>
      <c r="E39" s="5" t="n">
        <f aca="false">$L39*INDEX(Assumptions!$C$23:$C$30,MATCH($K39,Assumptions!$A$23:$A$30,0))</f>
        <v>20</v>
      </c>
      <c r="F39" s="5" t="n">
        <f aca="false">$L39*INDEX(Assumptions!$D$23:$D$30,MATCH($K39,Assumptions!$A$23:$A$30,0))</f>
        <v>13</v>
      </c>
      <c r="G39" s="5" t="n">
        <f aca="false">$L39*INDEX(Assumptions!$E$23:$E$30,MATCH($K39,Assumptions!$A$23:$A$30,0))</f>
        <v>13</v>
      </c>
      <c r="H39" s="6" t="n">
        <f aca="false">SUM(D39:G39)</f>
        <v>61</v>
      </c>
      <c r="I39" s="15" t="n">
        <f aca="false">ROUNDUP(H39*(1+Assumptions!$B$18),0)</f>
        <v>68</v>
      </c>
      <c r="J39" s="18"/>
      <c r="K39" s="7" t="s">
        <v>154</v>
      </c>
      <c r="L39" s="13" t="n">
        <v>1</v>
      </c>
    </row>
    <row r="40" customFormat="false" ht="15" hidden="false" customHeight="false" outlineLevel="0" collapsed="false">
      <c r="A40" s="7" t="s">
        <v>249</v>
      </c>
      <c r="B40" s="7" t="s">
        <v>250</v>
      </c>
      <c r="C40" s="7" t="s">
        <v>51</v>
      </c>
      <c r="D40" s="5" t="n">
        <f aca="false">$L40*INDEX(Assumptions!$B$23:$B$30,MATCH($K40,Assumptions!$A$23:$A$30,0))</f>
        <v>60</v>
      </c>
      <c r="E40" s="5" t="n">
        <f aca="false">$L40*INDEX(Assumptions!$C$23:$C$30,MATCH($K40,Assumptions!$A$23:$A$30,0))</f>
        <v>80</v>
      </c>
      <c r="F40" s="5" t="n">
        <f aca="false">$L40*INDEX(Assumptions!$D$23:$D$30,MATCH($K40,Assumptions!$A$23:$A$30,0))</f>
        <v>52</v>
      </c>
      <c r="G40" s="5" t="n">
        <f aca="false">$L40*INDEX(Assumptions!$E$23:$E$30,MATCH($K40,Assumptions!$A$23:$A$30,0))</f>
        <v>52</v>
      </c>
      <c r="H40" s="6" t="n">
        <f aca="false">SUM(D40:G40)</f>
        <v>244</v>
      </c>
      <c r="I40" s="15" t="n">
        <f aca="false">ROUNDUP(H40*(1+Assumptions!$B$18),0)</f>
        <v>269</v>
      </c>
      <c r="J40" s="18"/>
      <c r="K40" s="7" t="s">
        <v>154</v>
      </c>
      <c r="L40" s="13" t="n">
        <v>4</v>
      </c>
    </row>
    <row r="41" customFormat="false" ht="15" hidden="false" customHeight="false" outlineLevel="0" collapsed="false">
      <c r="A41" s="7" t="s">
        <v>251</v>
      </c>
      <c r="B41" s="7" t="s">
        <v>252</v>
      </c>
      <c r="C41" s="7" t="s">
        <v>52</v>
      </c>
      <c r="D41" s="5" t="n">
        <f aca="false">$L41*INDEX(Assumptions!$B$23:$B$30,MATCH($K41,Assumptions!$A$23:$A$30,0))</f>
        <v>45</v>
      </c>
      <c r="E41" s="5" t="n">
        <f aca="false">$L41*INDEX(Assumptions!$C$23:$C$30,MATCH($K41,Assumptions!$A$23:$A$30,0))</f>
        <v>60</v>
      </c>
      <c r="F41" s="5" t="n">
        <f aca="false">$L41*INDEX(Assumptions!$D$23:$D$30,MATCH($K41,Assumptions!$A$23:$A$30,0))</f>
        <v>39</v>
      </c>
      <c r="G41" s="5" t="n">
        <f aca="false">$L41*INDEX(Assumptions!$E$23:$E$30,MATCH($K41,Assumptions!$A$23:$A$30,0))</f>
        <v>39</v>
      </c>
      <c r="H41" s="6" t="n">
        <f aca="false">SUM(D41:G41)</f>
        <v>183</v>
      </c>
      <c r="I41" s="15" t="n">
        <f aca="false">ROUNDUP(H41*(1+Assumptions!$B$18),0)</f>
        <v>202</v>
      </c>
      <c r="J41" s="18"/>
      <c r="K41" s="7" t="s">
        <v>156</v>
      </c>
      <c r="L41" s="13" t="n">
        <v>3</v>
      </c>
    </row>
    <row r="42" customFormat="false" ht="15" hidden="false" customHeight="false" outlineLevel="0" collapsed="false">
      <c r="A42" s="7" t="s">
        <v>253</v>
      </c>
      <c r="B42" s="7" t="s">
        <v>254</v>
      </c>
      <c r="C42" s="7" t="s">
        <v>52</v>
      </c>
      <c r="D42" s="5" t="n">
        <f aca="false">$L42*INDEX(Assumptions!$B$23:$B$30,MATCH($K42,Assumptions!$A$23:$A$30,0))</f>
        <v>60</v>
      </c>
      <c r="E42" s="5" t="n">
        <f aca="false">$L42*INDEX(Assumptions!$C$23:$C$30,MATCH($K42,Assumptions!$A$23:$A$30,0))</f>
        <v>80</v>
      </c>
      <c r="F42" s="5" t="n">
        <f aca="false">$L42*INDEX(Assumptions!$D$23:$D$30,MATCH($K42,Assumptions!$A$23:$A$30,0))</f>
        <v>52</v>
      </c>
      <c r="G42" s="5" t="n">
        <f aca="false">$L42*INDEX(Assumptions!$E$23:$E$30,MATCH($K42,Assumptions!$A$23:$A$30,0))</f>
        <v>52</v>
      </c>
      <c r="H42" s="6" t="n">
        <f aca="false">SUM(D42:G42)</f>
        <v>244</v>
      </c>
      <c r="I42" s="15" t="n">
        <f aca="false">ROUNDUP(H42*(1+Assumptions!$B$18),0)</f>
        <v>269</v>
      </c>
      <c r="J42" s="18" t="s">
        <v>255</v>
      </c>
      <c r="K42" s="7" t="s">
        <v>154</v>
      </c>
      <c r="L42" s="13" t="n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8" min="4" style="0" width="10"/>
    <col collapsed="false" customWidth="true" hidden="false" outlineLevel="0" max="9" min="9" style="0" width="11"/>
    <col collapsed="false" customWidth="true" hidden="false" outlineLevel="0" max="10" min="10" style="0" width="30"/>
    <col collapsed="false" customWidth="true" hidden="false" outlineLevel="0" max="12" min="11" style="0" width="11"/>
    <col collapsed="false" customWidth="true" hidden="false" outlineLevel="0" max="14" min="13" style="0" width="10"/>
  </cols>
  <sheetData>
    <row r="1" customFormat="false" ht="17.35" hidden="false" customHeight="false" outlineLevel="0" collapsed="false">
      <c r="A1" s="1" t="s">
        <v>256</v>
      </c>
    </row>
    <row r="2" customFormat="false" ht="15" hidden="false" customHeight="false" outlineLevel="0" collapsed="false">
      <c r="A2" s="2" t="s">
        <v>257</v>
      </c>
    </row>
    <row r="4" customFormat="false" ht="35.05" hidden="false" customHeight="false" outlineLevel="0" collapsed="false">
      <c r="A4" s="3" t="s">
        <v>258</v>
      </c>
      <c r="B4" s="3" t="s">
        <v>259</v>
      </c>
      <c r="C4" s="3" t="s">
        <v>113</v>
      </c>
      <c r="D4" s="3" t="s">
        <v>260</v>
      </c>
      <c r="E4" s="3" t="s">
        <v>261</v>
      </c>
      <c r="F4" s="3" t="s">
        <v>33</v>
      </c>
      <c r="G4" s="3" t="s">
        <v>262</v>
      </c>
      <c r="H4" s="3" t="s">
        <v>263</v>
      </c>
      <c r="I4" s="3" t="s">
        <v>264</v>
      </c>
      <c r="J4" s="3" t="s">
        <v>265</v>
      </c>
      <c r="K4" s="3" t="s">
        <v>266</v>
      </c>
      <c r="L4" s="3" t="s">
        <v>267</v>
      </c>
      <c r="M4" s="3" t="s">
        <v>268</v>
      </c>
      <c r="N4" s="3" t="s">
        <v>269</v>
      </c>
    </row>
    <row r="5" customFormat="false" ht="15" hidden="false" customHeight="false" outlineLevel="0" collapsed="false">
      <c r="A5" s="4" t="s">
        <v>270</v>
      </c>
      <c r="B5" s="7" t="s">
        <v>271</v>
      </c>
      <c r="C5" s="13" t="n">
        <v>1</v>
      </c>
      <c r="D5" s="13" t="n">
        <v>70</v>
      </c>
      <c r="E5" s="13" t="n">
        <v>50</v>
      </c>
      <c r="F5" s="13" t="n">
        <v>0</v>
      </c>
      <c r="G5" s="13" t="n">
        <v>0</v>
      </c>
      <c r="H5" s="15" t="n">
        <f aca="false">ROUNDUP(D5/Assumptions!$B$19,0)</f>
        <v>28</v>
      </c>
      <c r="I5" s="15" t="n">
        <f aca="false">ROUNDUP(E5/Assumptions!$B$19,0)</f>
        <v>20</v>
      </c>
      <c r="J5" s="15" t="n">
        <f aca="false">H5+I5</f>
        <v>48</v>
      </c>
      <c r="K5" s="15" t="n">
        <f aca="false">ROUNDUP(H5/2,0)</f>
        <v>14</v>
      </c>
      <c r="L5" s="15" t="n">
        <f aca="false">ROUNDUP(G5/4,0)</f>
        <v>0</v>
      </c>
      <c r="M5" s="15" t="n">
        <f aca="false">ROUNDUP(G5/2,0)</f>
        <v>0</v>
      </c>
      <c r="N5" s="15" t="n">
        <f aca="false">IF(D5+E5&gt;0,2,0)</f>
        <v>2</v>
      </c>
    </row>
    <row r="6" customFormat="false" ht="15" hidden="false" customHeight="false" outlineLevel="0" collapsed="false">
      <c r="A6" s="4" t="s">
        <v>272</v>
      </c>
      <c r="B6" s="7" t="s">
        <v>271</v>
      </c>
      <c r="C6" s="13" t="n">
        <v>1</v>
      </c>
      <c r="D6" s="13" t="n">
        <v>0</v>
      </c>
      <c r="E6" s="13" t="n">
        <v>20</v>
      </c>
      <c r="F6" s="13" t="n">
        <v>10</v>
      </c>
      <c r="G6" s="13" t="n">
        <v>24</v>
      </c>
      <c r="H6" s="15" t="n">
        <f aca="false">ROUNDUP(D6/Assumptions!$B$19,0)</f>
        <v>0</v>
      </c>
      <c r="I6" s="15" t="n">
        <f aca="false">ROUNDUP(E6/Assumptions!$B$19,0)</f>
        <v>8</v>
      </c>
      <c r="J6" s="15" t="n">
        <f aca="false">H6+I6</f>
        <v>8</v>
      </c>
      <c r="K6" s="15" t="n">
        <f aca="false">ROUNDUP(H6/2,0)</f>
        <v>0</v>
      </c>
      <c r="L6" s="15" t="n">
        <f aca="false">ROUNDUP(G6/4,0)</f>
        <v>6</v>
      </c>
      <c r="M6" s="15" t="n">
        <f aca="false">ROUNDUP(G6/2,0)</f>
        <v>12</v>
      </c>
      <c r="N6" s="15" t="n">
        <f aca="false">IF(D6+E6&gt;0,2,0)</f>
        <v>2</v>
      </c>
    </row>
    <row r="7" customFormat="false" ht="15" hidden="false" customHeight="false" outlineLevel="0" collapsed="false">
      <c r="A7" s="4" t="s">
        <v>273</v>
      </c>
      <c r="B7" s="7" t="s">
        <v>271</v>
      </c>
      <c r="C7" s="13" t="n">
        <v>1</v>
      </c>
      <c r="D7" s="13" t="n">
        <v>20</v>
      </c>
      <c r="E7" s="13" t="n">
        <v>30</v>
      </c>
      <c r="F7" s="13" t="n">
        <v>4</v>
      </c>
      <c r="G7" s="13" t="n">
        <v>0</v>
      </c>
      <c r="H7" s="15" t="n">
        <f aca="false">ROUNDUP(D7/Assumptions!$B$19,0)</f>
        <v>8</v>
      </c>
      <c r="I7" s="15" t="n">
        <f aca="false">ROUNDUP(E7/Assumptions!$B$19,0)</f>
        <v>12</v>
      </c>
      <c r="J7" s="15" t="n">
        <f aca="false">H7+I7</f>
        <v>20</v>
      </c>
      <c r="K7" s="15" t="n">
        <f aca="false">ROUNDUP(H7/2,0)</f>
        <v>4</v>
      </c>
      <c r="L7" s="15" t="n">
        <f aca="false">ROUNDUP(G7/4,0)</f>
        <v>0</v>
      </c>
      <c r="M7" s="15" t="n">
        <f aca="false">ROUNDUP(G7/2,0)</f>
        <v>0</v>
      </c>
      <c r="N7" s="15" t="n">
        <f aca="false">IF(D7+E7&gt;0,2,0)</f>
        <v>2</v>
      </c>
    </row>
    <row r="8" customFormat="false" ht="15" hidden="false" customHeight="false" outlineLevel="0" collapsed="false">
      <c r="A8" s="4" t="s">
        <v>274</v>
      </c>
      <c r="B8" s="7" t="s">
        <v>275</v>
      </c>
      <c r="C8" s="13" t="n">
        <v>2</v>
      </c>
      <c r="D8" s="13" t="n">
        <v>40</v>
      </c>
      <c r="E8" s="13" t="n">
        <v>30</v>
      </c>
      <c r="F8" s="13" t="n">
        <v>0</v>
      </c>
      <c r="G8" s="13" t="n">
        <v>0</v>
      </c>
      <c r="H8" s="15" t="n">
        <f aca="false">ROUNDUP(D8/Assumptions!$B$19,0)</f>
        <v>16</v>
      </c>
      <c r="I8" s="15" t="n">
        <f aca="false">ROUNDUP(E8/Assumptions!$B$19,0)</f>
        <v>12</v>
      </c>
      <c r="J8" s="15" t="n">
        <f aca="false">H8+I8</f>
        <v>28</v>
      </c>
      <c r="K8" s="15" t="n">
        <f aca="false">ROUNDUP(H8/2,0)</f>
        <v>8</v>
      </c>
      <c r="L8" s="15" t="n">
        <f aca="false">ROUNDUP(G8/4,0)</f>
        <v>0</v>
      </c>
      <c r="M8" s="15" t="n">
        <f aca="false">ROUNDUP(G8/2,0)</f>
        <v>0</v>
      </c>
      <c r="N8" s="15" t="n">
        <f aca="false">IF(D8+E8&gt;0,2,0)</f>
        <v>2</v>
      </c>
    </row>
    <row r="9" customFormat="false" ht="15" hidden="false" customHeight="false" outlineLevel="0" collapsed="false">
      <c r="A9" s="4" t="s">
        <v>276</v>
      </c>
      <c r="B9" s="7" t="s">
        <v>275</v>
      </c>
      <c r="C9" s="13" t="n">
        <v>2</v>
      </c>
      <c r="D9" s="13" t="n">
        <v>0</v>
      </c>
      <c r="E9" s="13" t="n">
        <v>0</v>
      </c>
      <c r="F9" s="13" t="n">
        <v>6</v>
      </c>
      <c r="G9" s="13" t="n">
        <v>12</v>
      </c>
      <c r="H9" s="15" t="n">
        <f aca="false">ROUNDUP(D9/Assumptions!$B$19,0)</f>
        <v>0</v>
      </c>
      <c r="I9" s="15" t="n">
        <f aca="false">ROUNDUP(E9/Assumptions!$B$19,0)</f>
        <v>0</v>
      </c>
      <c r="J9" s="15" t="n">
        <f aca="false">H9+I9</f>
        <v>0</v>
      </c>
      <c r="K9" s="15" t="n">
        <f aca="false">ROUNDUP(H9/2,0)</f>
        <v>0</v>
      </c>
      <c r="L9" s="15" t="n">
        <f aca="false">ROUNDUP(G9/4,0)</f>
        <v>3</v>
      </c>
      <c r="M9" s="15" t="n">
        <f aca="false">ROUNDUP(G9/2,0)</f>
        <v>6</v>
      </c>
      <c r="N9" s="15" t="n">
        <f aca="false">IF(D9+E9&gt;0,2,0)</f>
        <v>0</v>
      </c>
    </row>
    <row r="10" customFormat="false" ht="15" hidden="false" customHeight="false" outlineLevel="0" collapsed="false">
      <c r="A10" s="4" t="s">
        <v>277</v>
      </c>
      <c r="B10" s="7" t="s">
        <v>278</v>
      </c>
      <c r="C10" s="13" t="n">
        <v>3</v>
      </c>
      <c r="D10" s="13" t="n">
        <v>16</v>
      </c>
      <c r="E10" s="13" t="n">
        <v>24</v>
      </c>
      <c r="F10" s="13" t="n">
        <v>6</v>
      </c>
      <c r="G10" s="13" t="n">
        <v>0</v>
      </c>
      <c r="H10" s="15" t="n">
        <f aca="false">ROUNDUP(D10/Assumptions!$B$19,0)</f>
        <v>7</v>
      </c>
      <c r="I10" s="15" t="n">
        <f aca="false">ROUNDUP(E10/Assumptions!$B$19,0)</f>
        <v>10</v>
      </c>
      <c r="J10" s="15" t="n">
        <f aca="false">H10+I10</f>
        <v>17</v>
      </c>
      <c r="K10" s="15" t="n">
        <f aca="false">ROUNDUP(H10/2,0)</f>
        <v>4</v>
      </c>
      <c r="L10" s="15" t="n">
        <f aca="false">ROUNDUP(G10/4,0)</f>
        <v>0</v>
      </c>
      <c r="M10" s="15" t="n">
        <f aca="false">ROUNDUP(G10/2,0)</f>
        <v>0</v>
      </c>
      <c r="N10" s="15" t="n">
        <f aca="false">IF(D10+E10&gt;0,2,0)</f>
        <v>2</v>
      </c>
    </row>
    <row r="11" customFormat="false" ht="15" hidden="false" customHeight="false" outlineLevel="0" collapsed="false">
      <c r="A11" s="4" t="s">
        <v>279</v>
      </c>
      <c r="B11" s="7" t="s">
        <v>280</v>
      </c>
      <c r="C11" s="13" t="n">
        <v>4</v>
      </c>
      <c r="D11" s="13" t="n">
        <v>30</v>
      </c>
      <c r="E11" s="13" t="n">
        <v>30</v>
      </c>
      <c r="F11" s="13" t="n">
        <v>6</v>
      </c>
      <c r="G11" s="13" t="n">
        <v>8</v>
      </c>
      <c r="H11" s="15" t="n">
        <f aca="false">ROUNDUP(D11/Assumptions!$B$19,0)</f>
        <v>12</v>
      </c>
      <c r="I11" s="15" t="n">
        <f aca="false">ROUNDUP(E11/Assumptions!$B$19,0)</f>
        <v>12</v>
      </c>
      <c r="J11" s="15" t="n">
        <f aca="false">H11+I11</f>
        <v>24</v>
      </c>
      <c r="K11" s="15" t="n">
        <f aca="false">ROUNDUP(H11/2,0)</f>
        <v>6</v>
      </c>
      <c r="L11" s="15" t="n">
        <f aca="false">ROUNDUP(G11/4,0)</f>
        <v>2</v>
      </c>
      <c r="M11" s="15" t="n">
        <f aca="false">ROUNDUP(G11/2,0)</f>
        <v>4</v>
      </c>
      <c r="N11" s="15" t="n">
        <f aca="false">IF(D11+E11&gt;0,2,0)</f>
        <v>2</v>
      </c>
    </row>
    <row r="12" customFormat="false" ht="15" hidden="false" customHeight="false" outlineLevel="0" collapsed="false">
      <c r="A12" s="8" t="s">
        <v>7</v>
      </c>
      <c r="D12" s="9" t="n">
        <f aca="false">SUM(D5:D11)</f>
        <v>176</v>
      </c>
      <c r="E12" s="9" t="n">
        <f aca="false">SUM(E5:E11)</f>
        <v>184</v>
      </c>
      <c r="F12" s="9" t="n">
        <f aca="false">SUM(F5:F11)</f>
        <v>32</v>
      </c>
      <c r="G12" s="9" t="n">
        <f aca="false">SUM(G5:G11)</f>
        <v>44</v>
      </c>
      <c r="H12" s="9" t="n">
        <f aca="false">SUM(H5:H11)</f>
        <v>71</v>
      </c>
      <c r="I12" s="9" t="n">
        <f aca="false">SUM(I5:I11)</f>
        <v>74</v>
      </c>
      <c r="J12" s="9" t="n">
        <f aca="false">SUM(J5:J11)</f>
        <v>145</v>
      </c>
      <c r="K12" s="9" t="n">
        <f aca="false">SUM(K5:K11)</f>
        <v>36</v>
      </c>
      <c r="L12" s="9" t="n">
        <f aca="false">SUM(L5:L11)</f>
        <v>11</v>
      </c>
      <c r="M12" s="9" t="n">
        <f aca="false">SUM(M5:M11)</f>
        <v>22</v>
      </c>
      <c r="N12" s="9" t="n">
        <f aca="false">SUM(N5:N11)</f>
        <v>12</v>
      </c>
    </row>
    <row r="15" customFormat="false" ht="23.85" hidden="false" customHeight="false" outlineLevel="0" collapsed="false">
      <c r="A15" s="3" t="s">
        <v>163</v>
      </c>
      <c r="B15" s="3" t="s">
        <v>164</v>
      </c>
      <c r="C15" s="3" t="s">
        <v>165</v>
      </c>
      <c r="D15" s="3" t="s">
        <v>149</v>
      </c>
      <c r="E15" s="3" t="s">
        <v>150</v>
      </c>
      <c r="F15" s="3" t="s">
        <v>151</v>
      </c>
      <c r="G15" s="3" t="s">
        <v>152</v>
      </c>
      <c r="H15" s="3" t="s">
        <v>7</v>
      </c>
      <c r="I15" s="3" t="s">
        <v>8</v>
      </c>
      <c r="J15" s="3" t="s">
        <v>166</v>
      </c>
      <c r="K15" s="3" t="s">
        <v>281</v>
      </c>
    </row>
    <row r="16" customFormat="false" ht="15" hidden="false" customHeight="false" outlineLevel="0" collapsed="false">
      <c r="A16" s="7" t="s">
        <v>282</v>
      </c>
      <c r="B16" s="7" t="s">
        <v>283</v>
      </c>
      <c r="C16" s="7" t="s">
        <v>27</v>
      </c>
      <c r="D16" s="15" t="n">
        <f aca="false">SUMPRODUCT($D$5:$D$11*($C$5:$C$11=1))</f>
        <v>90</v>
      </c>
      <c r="E16" s="15" t="n">
        <f aca="false">SUMPRODUCT($D$5:$D$11*($C$5:$C$11=2))</f>
        <v>40</v>
      </c>
      <c r="F16" s="15" t="n">
        <f aca="false">SUMPRODUCT($D$5:$D$11*($C$5:$C$11=3))</f>
        <v>16</v>
      </c>
      <c r="G16" s="15" t="n">
        <f aca="false">SUMPRODUCT($D$5:$D$11*($C$5:$C$11=4))</f>
        <v>30</v>
      </c>
      <c r="H16" s="6" t="n">
        <f aca="false">SUM(D16:G16)</f>
        <v>176</v>
      </c>
      <c r="I16" s="15" t="n">
        <f aca="false">ROUNDUP(H16*(1+Assumptions!$B$18),0)</f>
        <v>194</v>
      </c>
      <c r="J16" s="18"/>
      <c r="K16" s="7" t="s">
        <v>284</v>
      </c>
    </row>
    <row r="17" customFormat="false" ht="15" hidden="false" customHeight="false" outlineLevel="0" collapsed="false">
      <c r="A17" s="7" t="s">
        <v>285</v>
      </c>
      <c r="B17" s="7" t="s">
        <v>286</v>
      </c>
      <c r="C17" s="7" t="s">
        <v>28</v>
      </c>
      <c r="D17" s="15" t="n">
        <f aca="false">SUMPRODUCT($E$5:$E$11*($C$5:$C$11=1))</f>
        <v>100</v>
      </c>
      <c r="E17" s="15" t="n">
        <f aca="false">SUMPRODUCT($E$5:$E$11*($C$5:$C$11=2))</f>
        <v>30</v>
      </c>
      <c r="F17" s="15" t="n">
        <f aca="false">SUMPRODUCT($E$5:$E$11*($C$5:$C$11=3))</f>
        <v>24</v>
      </c>
      <c r="G17" s="15" t="n">
        <f aca="false">SUMPRODUCT($E$5:$E$11*($C$5:$C$11=4))</f>
        <v>30</v>
      </c>
      <c r="H17" s="6" t="n">
        <f aca="false">SUM(D17:G17)</f>
        <v>184</v>
      </c>
      <c r="I17" s="15" t="n">
        <f aca="false">ROUNDUP(H17*(1+Assumptions!$B$18),0)</f>
        <v>203</v>
      </c>
      <c r="J17" s="18" t="s">
        <v>287</v>
      </c>
      <c r="K17" s="7" t="s">
        <v>288</v>
      </c>
    </row>
    <row r="18" customFormat="false" ht="15" hidden="false" customHeight="false" outlineLevel="0" collapsed="false">
      <c r="A18" s="7" t="s">
        <v>289</v>
      </c>
      <c r="B18" s="7" t="s">
        <v>290</v>
      </c>
      <c r="C18" s="7" t="s">
        <v>33</v>
      </c>
      <c r="D18" s="15" t="n">
        <f aca="false">SUMPRODUCT($F$5:$F$11*($C$5:$C$11=1))</f>
        <v>14</v>
      </c>
      <c r="E18" s="15" t="n">
        <f aca="false">SUMPRODUCT($F$5:$F$11*($C$5:$C$11=2))</f>
        <v>6</v>
      </c>
      <c r="F18" s="15" t="n">
        <f aca="false">SUMPRODUCT($F$5:$F$11*($C$5:$C$11=3))</f>
        <v>6</v>
      </c>
      <c r="G18" s="15" t="n">
        <f aca="false">SUMPRODUCT($F$5:$F$11*($C$5:$C$11=4))</f>
        <v>6</v>
      </c>
      <c r="H18" s="6" t="n">
        <f aca="false">SUM(D18:G18)</f>
        <v>32</v>
      </c>
      <c r="I18" s="15" t="n">
        <f aca="false">ROUNDUP(H18*(1+Assumptions!$B$18),0)</f>
        <v>36</v>
      </c>
      <c r="J18" s="18"/>
      <c r="K18" s="7" t="s">
        <v>291</v>
      </c>
    </row>
    <row r="19" customFormat="false" ht="15" hidden="false" customHeight="false" outlineLevel="0" collapsed="false">
      <c r="A19" s="7" t="s">
        <v>292</v>
      </c>
      <c r="B19" s="7" t="s">
        <v>293</v>
      </c>
      <c r="C19" s="7" t="s">
        <v>34</v>
      </c>
      <c r="D19" s="15" t="n">
        <f aca="false">SUMPRODUCT($G$5:$G$11*($C$5:$C$11=1))</f>
        <v>24</v>
      </c>
      <c r="E19" s="15" t="n">
        <f aca="false">SUMPRODUCT($G$5:$G$11*($C$5:$C$11=2))</f>
        <v>12</v>
      </c>
      <c r="F19" s="15" t="n">
        <f aca="false">SUMPRODUCT($G$5:$G$11*($C$5:$C$11=3))</f>
        <v>0</v>
      </c>
      <c r="G19" s="15" t="n">
        <f aca="false">SUMPRODUCT($G$5:$G$11*($C$5:$C$11=4))</f>
        <v>8</v>
      </c>
      <c r="H19" s="6" t="n">
        <f aca="false">SUM(D19:G19)</f>
        <v>44</v>
      </c>
      <c r="I19" s="15" t="n">
        <f aca="false">ROUNDUP(H19*(1+Assumptions!$B$18),0)</f>
        <v>49</v>
      </c>
      <c r="J19" s="18" t="s">
        <v>294</v>
      </c>
      <c r="K19" s="7" t="s">
        <v>295</v>
      </c>
    </row>
    <row r="20" customFormat="false" ht="15" hidden="false" customHeight="false" outlineLevel="0" collapsed="false">
      <c r="A20" s="7" t="s">
        <v>296</v>
      </c>
      <c r="B20" s="7" t="s">
        <v>297</v>
      </c>
      <c r="C20" s="7" t="s">
        <v>30</v>
      </c>
      <c r="D20" s="15" t="n">
        <f aca="false">SUMPRODUCT($H$5:$H$11*($C$5:$C$11=1))</f>
        <v>36</v>
      </c>
      <c r="E20" s="15" t="n">
        <f aca="false">SUMPRODUCT($H$5:$H$11*($C$5:$C$11=2))</f>
        <v>16</v>
      </c>
      <c r="F20" s="15" t="n">
        <f aca="false">SUMPRODUCT($H$5:$H$11*($C$5:$C$11=3))</f>
        <v>7</v>
      </c>
      <c r="G20" s="15" t="n">
        <f aca="false">SUMPRODUCT($H$5:$H$11*($C$5:$C$11=4))</f>
        <v>12</v>
      </c>
      <c r="H20" s="6" t="n">
        <f aca="false">SUM(D20:G20)</f>
        <v>71</v>
      </c>
      <c r="I20" s="15" t="n">
        <f aca="false">ROUNDUP(H20*(1+Assumptions!$B$18),0)</f>
        <v>79</v>
      </c>
      <c r="J20" s="18" t="s">
        <v>298</v>
      </c>
      <c r="K20" s="7" t="s">
        <v>299</v>
      </c>
    </row>
    <row r="21" customFormat="false" ht="15" hidden="false" customHeight="false" outlineLevel="0" collapsed="false">
      <c r="A21" s="7" t="s">
        <v>300</v>
      </c>
      <c r="B21" s="7" t="s">
        <v>301</v>
      </c>
      <c r="C21" s="7" t="s">
        <v>31</v>
      </c>
      <c r="D21" s="15" t="n">
        <f aca="false">SUMPRODUCT($I$5:$I$11*($C$5:$C$11=1))</f>
        <v>40</v>
      </c>
      <c r="E21" s="15" t="n">
        <f aca="false">SUMPRODUCT($I$5:$I$11*($C$5:$C$11=2))</f>
        <v>12</v>
      </c>
      <c r="F21" s="15" t="n">
        <f aca="false">SUMPRODUCT($I$5:$I$11*($C$5:$C$11=3))</f>
        <v>10</v>
      </c>
      <c r="G21" s="15" t="n">
        <f aca="false">SUMPRODUCT($I$5:$I$11*($C$5:$C$11=4))</f>
        <v>12</v>
      </c>
      <c r="H21" s="6" t="n">
        <f aca="false">SUM(D21:G21)</f>
        <v>74</v>
      </c>
      <c r="I21" s="15" t="n">
        <f aca="false">ROUNDUP(H21*(1+Assumptions!$B$18),0)</f>
        <v>82</v>
      </c>
      <c r="J21" s="18"/>
      <c r="K21" s="7" t="s">
        <v>302</v>
      </c>
    </row>
    <row r="22" customFormat="false" ht="15" hidden="false" customHeight="false" outlineLevel="0" collapsed="false">
      <c r="A22" s="7" t="s">
        <v>303</v>
      </c>
      <c r="B22" s="7" t="s">
        <v>304</v>
      </c>
      <c r="C22" s="7" t="s">
        <v>25</v>
      </c>
      <c r="D22" s="15" t="n">
        <f aca="false">SUMPRODUCT($J$5:$J$11*($C$5:$C$11=1))</f>
        <v>76</v>
      </c>
      <c r="E22" s="15" t="n">
        <f aca="false">SUMPRODUCT($J$5:$J$11*($C$5:$C$11=2))</f>
        <v>28</v>
      </c>
      <c r="F22" s="15" t="n">
        <f aca="false">SUMPRODUCT($J$5:$J$11*($C$5:$C$11=3))</f>
        <v>17</v>
      </c>
      <c r="G22" s="15" t="n">
        <f aca="false">SUMPRODUCT($J$5:$J$11*($C$5:$C$11=4))</f>
        <v>24</v>
      </c>
      <c r="H22" s="6" t="n">
        <f aca="false">SUM(D22:G22)</f>
        <v>145</v>
      </c>
      <c r="I22" s="15" t="n">
        <f aca="false">ROUNDUP(H22*(1+Assumptions!$B$18),0)</f>
        <v>160</v>
      </c>
      <c r="J22" s="18" t="s">
        <v>305</v>
      </c>
      <c r="K22" s="7" t="s">
        <v>306</v>
      </c>
    </row>
    <row r="23" customFormat="false" ht="15" hidden="false" customHeight="false" outlineLevel="0" collapsed="false">
      <c r="A23" s="7" t="s">
        <v>307</v>
      </c>
      <c r="B23" s="7" t="s">
        <v>308</v>
      </c>
      <c r="C23" s="7" t="s">
        <v>25</v>
      </c>
      <c r="D23" s="15" t="n">
        <f aca="false">SUMPRODUCT($K$5:$K$11*($C$5:$C$11=1))</f>
        <v>18</v>
      </c>
      <c r="E23" s="15" t="n">
        <f aca="false">SUMPRODUCT($K$5:$K$11*($C$5:$C$11=2))</f>
        <v>8</v>
      </c>
      <c r="F23" s="15" t="n">
        <f aca="false">SUMPRODUCT($K$5:$K$11*($C$5:$C$11=3))</f>
        <v>4</v>
      </c>
      <c r="G23" s="15" t="n">
        <f aca="false">SUMPRODUCT($K$5:$K$11*($C$5:$C$11=4))</f>
        <v>6</v>
      </c>
      <c r="H23" s="6" t="n">
        <f aca="false">SUM(D23:G23)</f>
        <v>36</v>
      </c>
      <c r="I23" s="15" t="n">
        <f aca="false">ROUNDUP(H23*(1+Assumptions!$B$18),0)</f>
        <v>40</v>
      </c>
      <c r="J23" s="18" t="s">
        <v>309</v>
      </c>
      <c r="K23" s="7" t="s">
        <v>310</v>
      </c>
    </row>
    <row r="24" customFormat="false" ht="15" hidden="false" customHeight="false" outlineLevel="0" collapsed="false">
      <c r="A24" s="7" t="s">
        <v>230</v>
      </c>
      <c r="B24" s="7" t="s">
        <v>311</v>
      </c>
      <c r="C24" s="7" t="s">
        <v>25</v>
      </c>
      <c r="D24" s="15" t="n">
        <f aca="false">SUMPRODUCT($L$5:$L$11*($C$5:$C$11=1))</f>
        <v>6</v>
      </c>
      <c r="E24" s="15" t="n">
        <f aca="false">SUMPRODUCT($L$5:$L$11*($C$5:$C$11=2))</f>
        <v>3</v>
      </c>
      <c r="F24" s="15" t="n">
        <f aca="false">SUMPRODUCT($L$5:$L$11*($C$5:$C$11=3))</f>
        <v>0</v>
      </c>
      <c r="G24" s="15" t="n">
        <f aca="false">SUMPRODUCT($L$5:$L$11*($C$5:$C$11=4))</f>
        <v>2</v>
      </c>
      <c r="H24" s="6" t="n">
        <f aca="false">SUM(D24:G24)</f>
        <v>11</v>
      </c>
      <c r="I24" s="15" t="n">
        <f aca="false">ROUNDUP(H24*(1+Assumptions!$B$18),0)</f>
        <v>13</v>
      </c>
      <c r="J24" s="18"/>
      <c r="K24" s="7" t="s">
        <v>312</v>
      </c>
    </row>
    <row r="25" customFormat="false" ht="15" hidden="false" customHeight="false" outlineLevel="0" collapsed="false">
      <c r="A25" s="7" t="s">
        <v>313</v>
      </c>
      <c r="B25" s="7" t="s">
        <v>314</v>
      </c>
      <c r="C25" s="7" t="s">
        <v>36</v>
      </c>
      <c r="D25" s="15" t="n">
        <f aca="false">SUMPRODUCT($M$5:$M$11*($C$5:$C$11=1))</f>
        <v>12</v>
      </c>
      <c r="E25" s="15" t="n">
        <f aca="false">SUMPRODUCT($M$5:$M$11*($C$5:$C$11=2))</f>
        <v>6</v>
      </c>
      <c r="F25" s="15" t="n">
        <f aca="false">SUMPRODUCT($M$5:$M$11*($C$5:$C$11=3))</f>
        <v>0</v>
      </c>
      <c r="G25" s="15" t="n">
        <f aca="false">SUMPRODUCT($M$5:$M$11*($C$5:$C$11=4))</f>
        <v>4</v>
      </c>
      <c r="H25" s="6" t="n">
        <f aca="false">SUM(D25:G25)</f>
        <v>22</v>
      </c>
      <c r="I25" s="15" t="n">
        <f aca="false">ROUNDUP(H25*(1+Assumptions!$B$18),0)</f>
        <v>25</v>
      </c>
      <c r="J25" s="18"/>
      <c r="K25" s="7" t="s">
        <v>315</v>
      </c>
    </row>
    <row r="26" customFormat="false" ht="15" hidden="false" customHeight="false" outlineLevel="0" collapsed="false">
      <c r="A26" s="7" t="s">
        <v>316</v>
      </c>
      <c r="B26" s="7" t="s">
        <v>317</v>
      </c>
      <c r="C26" s="7" t="s">
        <v>50</v>
      </c>
      <c r="D26" s="15" t="n">
        <f aca="false">SUMPRODUCT($N$5:$N$11*($C$5:$C$11=1))</f>
        <v>6</v>
      </c>
      <c r="E26" s="15" t="n">
        <f aca="false">SUMPRODUCT($N$5:$N$11*($C$5:$C$11=2))</f>
        <v>2</v>
      </c>
      <c r="F26" s="15" t="n">
        <f aca="false">SUMPRODUCT($N$5:$N$11*($C$5:$C$11=3))</f>
        <v>2</v>
      </c>
      <c r="G26" s="15" t="n">
        <f aca="false">SUMPRODUCT($N$5:$N$11*($C$5:$C$11=4))</f>
        <v>2</v>
      </c>
      <c r="H26" s="6" t="n">
        <f aca="false">SUM(D26:G26)</f>
        <v>12</v>
      </c>
      <c r="I26" s="15" t="n">
        <f aca="false">ROUNDUP(H26*(1+Assumptions!$B$18),0)</f>
        <v>14</v>
      </c>
      <c r="J26" s="18"/>
      <c r="K26" s="7" t="s">
        <v>318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319</v>
      </c>
    </row>
    <row r="2" customFormat="false" ht="15" hidden="false" customHeight="false" outlineLevel="0" collapsed="false">
      <c r="A2" s="2" t="s">
        <v>320</v>
      </c>
    </row>
    <row r="4" customFormat="false" ht="23.85" hidden="false" customHeight="false" outlineLevel="0" collapsed="false">
      <c r="A4" s="3" t="s">
        <v>321</v>
      </c>
      <c r="B4" s="3" t="s">
        <v>113</v>
      </c>
      <c r="C4" s="3" t="s">
        <v>322</v>
      </c>
      <c r="D4" s="3" t="s">
        <v>40</v>
      </c>
      <c r="E4" s="3" t="s">
        <v>323</v>
      </c>
      <c r="F4" s="3" t="s">
        <v>324</v>
      </c>
      <c r="G4" s="3" t="s">
        <v>325</v>
      </c>
    </row>
    <row r="5" customFormat="false" ht="15" hidden="false" customHeight="false" outlineLevel="0" collapsed="false">
      <c r="A5" s="4" t="s">
        <v>326</v>
      </c>
      <c r="B5" s="12" t="n">
        <v>1</v>
      </c>
      <c r="C5" s="13" t="n">
        <v>50</v>
      </c>
      <c r="D5" s="13" t="n">
        <v>4</v>
      </c>
      <c r="E5" s="15" t="n">
        <f aca="false">ROUNDUP(C5/2,0)</f>
        <v>25</v>
      </c>
      <c r="F5" s="15" t="n">
        <f aca="false">ROUNDUP(C5/2,0)</f>
        <v>25</v>
      </c>
      <c r="G5" s="13" t="n">
        <v>1</v>
      </c>
    </row>
    <row r="6" customFormat="false" ht="15" hidden="false" customHeight="false" outlineLevel="0" collapsed="false">
      <c r="A6" s="4" t="s">
        <v>327</v>
      </c>
      <c r="B6" s="12" t="n">
        <v>1</v>
      </c>
      <c r="C6" s="13" t="n">
        <v>30</v>
      </c>
      <c r="D6" s="13" t="n">
        <v>2</v>
      </c>
      <c r="E6" s="15" t="n">
        <f aca="false">ROUNDUP(C6/2,0)</f>
        <v>15</v>
      </c>
      <c r="F6" s="15" t="n">
        <f aca="false">ROUNDUP(C6/2,0)</f>
        <v>15</v>
      </c>
      <c r="G6" s="13" t="n">
        <v>1</v>
      </c>
    </row>
    <row r="7" customFormat="false" ht="15" hidden="false" customHeight="false" outlineLevel="0" collapsed="false">
      <c r="A7" s="4" t="s">
        <v>328</v>
      </c>
      <c r="B7" s="12" t="n">
        <v>2</v>
      </c>
      <c r="C7" s="13" t="n">
        <v>16</v>
      </c>
      <c r="D7" s="13" t="n">
        <v>0</v>
      </c>
      <c r="E7" s="15" t="n">
        <v>0</v>
      </c>
      <c r="F7" s="15" t="n">
        <f aca="false">ROUNDUP(C7/2,0)</f>
        <v>8</v>
      </c>
      <c r="G7" s="13" t="n">
        <v>1</v>
      </c>
    </row>
    <row r="9" customFormat="false" ht="15" hidden="false" customHeight="false" outlineLevel="0" collapsed="false">
      <c r="A9" s="3" t="s">
        <v>329</v>
      </c>
      <c r="B9" s="3" t="s">
        <v>330</v>
      </c>
      <c r="C9" s="3" t="s">
        <v>113</v>
      </c>
    </row>
    <row r="10" customFormat="false" ht="15" hidden="false" customHeight="false" outlineLevel="0" collapsed="false">
      <c r="A10" s="4" t="s">
        <v>331</v>
      </c>
      <c r="B10" s="13" t="n">
        <v>2</v>
      </c>
      <c r="C10" s="7" t="s">
        <v>332</v>
      </c>
    </row>
    <row r="11" customFormat="false" ht="15" hidden="false" customHeight="false" outlineLevel="0" collapsed="false">
      <c r="A11" s="4" t="s">
        <v>333</v>
      </c>
      <c r="B11" s="13" t="n">
        <v>15</v>
      </c>
      <c r="C11" s="12" t="n">
        <v>2</v>
      </c>
    </row>
    <row r="12" customFormat="false" ht="15" hidden="false" customHeight="false" outlineLevel="0" collapsed="false">
      <c r="A12" s="4" t="s">
        <v>334</v>
      </c>
      <c r="B12" s="13" t="n">
        <v>6</v>
      </c>
      <c r="C12" s="12" t="n">
        <v>2</v>
      </c>
    </row>
    <row r="15" customFormat="false" ht="23.85" hidden="false" customHeight="false" outlineLevel="0" collapsed="false">
      <c r="A15" s="3" t="s">
        <v>163</v>
      </c>
      <c r="B15" s="3" t="s">
        <v>164</v>
      </c>
      <c r="C15" s="3" t="s">
        <v>165</v>
      </c>
      <c r="D15" s="3" t="s">
        <v>149</v>
      </c>
      <c r="E15" s="3" t="s">
        <v>150</v>
      </c>
      <c r="F15" s="3" t="s">
        <v>151</v>
      </c>
      <c r="G15" s="3" t="s">
        <v>152</v>
      </c>
      <c r="H15" s="3" t="s">
        <v>7</v>
      </c>
      <c r="I15" s="3" t="s">
        <v>8</v>
      </c>
      <c r="J15" s="3" t="s">
        <v>166</v>
      </c>
    </row>
    <row r="16" customFormat="false" ht="15" hidden="false" customHeight="false" outlineLevel="0" collapsed="false">
      <c r="A16" s="7" t="s">
        <v>335</v>
      </c>
      <c r="B16" s="7" t="s">
        <v>336</v>
      </c>
      <c r="C16" s="7" t="s">
        <v>39</v>
      </c>
      <c r="D16" s="15" t="n">
        <f aca="false">SUMPRODUCT($C$5:$C$7*($B$5:$B$7=1))</f>
        <v>80</v>
      </c>
      <c r="E16" s="15" t="n">
        <f aca="false">SUMPRODUCT($C$5:$C$7*($B$5:$B$7=2))</f>
        <v>16</v>
      </c>
      <c r="F16" s="15" t="n">
        <f aca="false">SUMPRODUCT($C$5:$C$7*($B$5:$B$7=3))</f>
        <v>0</v>
      </c>
      <c r="G16" s="15" t="n">
        <f aca="false">SUMPRODUCT($C$5:$C$7*($B$5:$B$7=4))</f>
        <v>0</v>
      </c>
      <c r="H16" s="6" t="n">
        <f aca="false">SUM(D16:G16)</f>
        <v>96</v>
      </c>
      <c r="I16" s="15" t="n">
        <f aca="false">ROUNDUP(H16*(1+Assumptions!$B$18),0)</f>
        <v>106</v>
      </c>
      <c r="J16" s="18"/>
    </row>
    <row r="17" customFormat="false" ht="15" hidden="false" customHeight="false" outlineLevel="0" collapsed="false">
      <c r="A17" s="7" t="s">
        <v>337</v>
      </c>
      <c r="B17" s="7" t="s">
        <v>338</v>
      </c>
      <c r="C17" s="7" t="s">
        <v>39</v>
      </c>
      <c r="D17" s="5" t="n">
        <f aca="false">$B$10*Assumptions!B29</f>
        <v>0</v>
      </c>
      <c r="E17" s="5" t="n">
        <f aca="false">$B$10*Assumptions!C29</f>
        <v>0</v>
      </c>
      <c r="F17" s="5" t="n">
        <f aca="false">$B$10*Assumptions!D29</f>
        <v>24</v>
      </c>
      <c r="G17" s="5" t="n">
        <f aca="false">$B$10*Assumptions!E29</f>
        <v>24</v>
      </c>
      <c r="H17" s="6" t="n">
        <f aca="false">SUM(D17:G17)</f>
        <v>48</v>
      </c>
      <c r="I17" s="15" t="n">
        <f aca="false">ROUNDUP(H17*(1+Assumptions!$B$18),0)</f>
        <v>53</v>
      </c>
      <c r="J17" s="18" t="s">
        <v>339</v>
      </c>
    </row>
    <row r="18" customFormat="false" ht="15" hidden="false" customHeight="false" outlineLevel="0" collapsed="false">
      <c r="A18" s="7" t="s">
        <v>340</v>
      </c>
      <c r="B18" s="7" t="s">
        <v>341</v>
      </c>
      <c r="C18" s="7" t="s">
        <v>40</v>
      </c>
      <c r="D18" s="15" t="n">
        <f aca="false">SUMPRODUCT($D$5:$D$7*($B$5:$B$7=1))</f>
        <v>6</v>
      </c>
      <c r="E18" s="15" t="n">
        <f aca="false">SUMPRODUCT($D$5:$D$7*($B$5:$B$7=2))</f>
        <v>0</v>
      </c>
      <c r="F18" s="15" t="n">
        <f aca="false">SUMPRODUCT($D$5:$D$7*($B$5:$B$7=3))</f>
        <v>0</v>
      </c>
      <c r="G18" s="15" t="n">
        <f aca="false">SUMPRODUCT($D$5:$D$7*($B$5:$B$7=4))</f>
        <v>0</v>
      </c>
      <c r="H18" s="6" t="n">
        <f aca="false">SUM(D18:G18)</f>
        <v>6</v>
      </c>
      <c r="I18" s="15" t="n">
        <f aca="false">ROUNDUP(H18*(1+Assumptions!$B$18),0)</f>
        <v>7</v>
      </c>
      <c r="J18" s="18"/>
    </row>
    <row r="19" customFormat="false" ht="15" hidden="false" customHeight="false" outlineLevel="0" collapsed="false">
      <c r="A19" s="7" t="s">
        <v>342</v>
      </c>
      <c r="B19" s="7" t="s">
        <v>343</v>
      </c>
      <c r="C19" s="7" t="s">
        <v>41</v>
      </c>
      <c r="D19" s="15" t="n">
        <f aca="false">SUMPRODUCT($E$5:$E$7*($B$5:$B$7=1))</f>
        <v>40</v>
      </c>
      <c r="E19" s="15" t="n">
        <f aca="false">SUMPRODUCT($E$5:$E$7*($B$5:$B$7=2))</f>
        <v>0</v>
      </c>
      <c r="F19" s="15" t="n">
        <f aca="false">SUMPRODUCT($E$5:$E$7*($B$5:$B$7=3))</f>
        <v>0</v>
      </c>
      <c r="G19" s="15" t="n">
        <f aca="false">SUMPRODUCT($E$5:$E$7*($B$5:$B$7=4))</f>
        <v>0</v>
      </c>
      <c r="H19" s="6" t="n">
        <f aca="false">SUM(D19:G19)</f>
        <v>40</v>
      </c>
      <c r="I19" s="15" t="n">
        <f aca="false">ROUNDUP(H19*(1+Assumptions!$B$18),0)</f>
        <v>44</v>
      </c>
      <c r="J19" s="18" t="s">
        <v>344</v>
      </c>
    </row>
    <row r="20" customFormat="false" ht="15" hidden="false" customHeight="false" outlineLevel="0" collapsed="false">
      <c r="A20" s="7" t="s">
        <v>345</v>
      </c>
      <c r="B20" s="7" t="s">
        <v>346</v>
      </c>
      <c r="C20" s="7" t="s">
        <v>36</v>
      </c>
      <c r="D20" s="15" t="n">
        <f aca="false">SUMPRODUCT($F$5:$F$7*($B$5:$B$7=1))</f>
        <v>40</v>
      </c>
      <c r="E20" s="15" t="n">
        <f aca="false">SUMPRODUCT($F$5:$F$7*($B$5:$B$7=2))</f>
        <v>8</v>
      </c>
      <c r="F20" s="15" t="n">
        <f aca="false">SUMPRODUCT($F$5:$F$7*($B$5:$B$7=3))</f>
        <v>0</v>
      </c>
      <c r="G20" s="15" t="n">
        <f aca="false">SUMPRODUCT($F$5:$F$7*($B$5:$B$7=4))</f>
        <v>0</v>
      </c>
      <c r="H20" s="6" t="n">
        <f aca="false">SUM(D20:G20)</f>
        <v>48</v>
      </c>
      <c r="I20" s="15" t="n">
        <f aca="false">ROUNDUP(H20*(1+Assumptions!$B$18),0)</f>
        <v>53</v>
      </c>
      <c r="J20" s="18"/>
    </row>
    <row r="21" customFormat="false" ht="15" hidden="false" customHeight="false" outlineLevel="0" collapsed="false">
      <c r="A21" s="7" t="s">
        <v>347</v>
      </c>
      <c r="B21" s="7" t="s">
        <v>348</v>
      </c>
      <c r="C21" s="7" t="s">
        <v>48</v>
      </c>
      <c r="D21" s="15" t="n">
        <f aca="false">SUMPRODUCT($G$5:$G$7*($B$5:$B$7=1))</f>
        <v>2</v>
      </c>
      <c r="E21" s="15" t="n">
        <f aca="false">SUMPRODUCT($G$5:$G$7*($B$5:$B$7=2))</f>
        <v>1</v>
      </c>
      <c r="F21" s="15" t="n">
        <f aca="false">SUMPRODUCT($G$5:$G$7*($B$5:$B$7=3))</f>
        <v>0</v>
      </c>
      <c r="G21" s="15" t="n">
        <f aca="false">SUMPRODUCT($G$5:$G$7*($B$5:$B$7=4))</f>
        <v>0</v>
      </c>
      <c r="H21" s="6" t="n">
        <f aca="false">SUM(D21:G21)</f>
        <v>3</v>
      </c>
      <c r="I21" s="15" t="n">
        <f aca="false">ROUNDUP(H21*(1+Assumptions!$B$18),0)</f>
        <v>4</v>
      </c>
      <c r="J21" s="18"/>
    </row>
    <row r="22" customFormat="false" ht="15" hidden="false" customHeight="false" outlineLevel="0" collapsed="false">
      <c r="A22" s="7" t="s">
        <v>349</v>
      </c>
      <c r="B22" s="7" t="s">
        <v>350</v>
      </c>
      <c r="C22" s="7" t="s">
        <v>39</v>
      </c>
      <c r="D22" s="15" t="n">
        <f aca="false">$B$11*($C$11=1)</f>
        <v>0</v>
      </c>
      <c r="E22" s="15" t="n">
        <f aca="false">$B$11*($C$11=2)</f>
        <v>15</v>
      </c>
      <c r="F22" s="15" t="n">
        <f aca="false">$B$11*($C$11=3)</f>
        <v>0</v>
      </c>
      <c r="G22" s="15" t="n">
        <f aca="false">$B$11*($C$11=4)</f>
        <v>0</v>
      </c>
      <c r="H22" s="6" t="n">
        <f aca="false">SUM(D22:G22)</f>
        <v>15</v>
      </c>
      <c r="I22" s="15" t="n">
        <f aca="false">ROUNDUP(H22*(1+Assumptions!$B$18),0)</f>
        <v>17</v>
      </c>
      <c r="J22" s="18" t="s">
        <v>351</v>
      </c>
    </row>
    <row r="23" customFormat="false" ht="15" hidden="false" customHeight="false" outlineLevel="0" collapsed="false">
      <c r="A23" s="7" t="s">
        <v>352</v>
      </c>
      <c r="B23" s="7" t="s">
        <v>353</v>
      </c>
      <c r="C23" s="7" t="s">
        <v>49</v>
      </c>
      <c r="D23" s="15" t="n">
        <f aca="false">$B$12*($C$12=1)</f>
        <v>0</v>
      </c>
      <c r="E23" s="15" t="n">
        <f aca="false">$B$12*($C$12=2)</f>
        <v>6</v>
      </c>
      <c r="F23" s="15" t="n">
        <f aca="false">$B$12*($C$12=3)</f>
        <v>0</v>
      </c>
      <c r="G23" s="15" t="n">
        <f aca="false">$B$12*($C$12=4)</f>
        <v>0</v>
      </c>
      <c r="H23" s="6" t="n">
        <f aca="false">SUM(D23:G23)</f>
        <v>6</v>
      </c>
      <c r="I23" s="15" t="n">
        <f aca="false">ROUNDUP(H23*(1+Assumptions!$B$18),0)</f>
        <v>7</v>
      </c>
      <c r="J23" s="18" t="s">
        <v>354</v>
      </c>
    </row>
    <row r="24" customFormat="false" ht="15" hidden="false" customHeight="false" outlineLevel="0" collapsed="false">
      <c r="A24" s="7" t="s">
        <v>355</v>
      </c>
      <c r="B24" s="7" t="s">
        <v>356</v>
      </c>
      <c r="C24" s="7" t="s">
        <v>49</v>
      </c>
      <c r="D24" s="15" t="n">
        <f aca="false">$B$12*($C$12=1)</f>
        <v>0</v>
      </c>
      <c r="E24" s="15" t="n">
        <f aca="false">$B$12*($C$12=2)</f>
        <v>6</v>
      </c>
      <c r="F24" s="15" t="n">
        <f aca="false">$B$12*($C$12=3)</f>
        <v>0</v>
      </c>
      <c r="G24" s="15" t="n">
        <f aca="false">$B$12*($C$12=4)</f>
        <v>0</v>
      </c>
      <c r="H24" s="6" t="n">
        <f aca="false">SUM(D24:G24)</f>
        <v>6</v>
      </c>
      <c r="I24" s="15" t="n">
        <f aca="false">ROUNDUP(H24*(1+Assumptions!$B$18),0)</f>
        <v>7</v>
      </c>
      <c r="J24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8" min="4" style="0" width="9"/>
    <col collapsed="false" customWidth="true" hidden="false" outlineLevel="0" max="9" min="9" style="0" width="11"/>
    <col collapsed="false" customWidth="true" hidden="false" outlineLevel="0" max="10" min="10" style="0" width="40"/>
    <col collapsed="false" customWidth="true" hidden="false" outlineLevel="0" max="11" min="11" style="0" width="14"/>
    <col collapsed="false" customWidth="true" hidden="false" outlineLevel="0" max="12" min="12" style="0" width="8"/>
  </cols>
  <sheetData>
    <row r="1" customFormat="false" ht="17.35" hidden="false" customHeight="false" outlineLevel="0" collapsed="false">
      <c r="A1" s="1" t="s">
        <v>357</v>
      </c>
    </row>
    <row r="2" customFormat="false" ht="15" hidden="false" customHeight="false" outlineLevel="0" collapsed="false">
      <c r="A2" s="2" t="s">
        <v>358</v>
      </c>
    </row>
    <row r="4" customFormat="false" ht="23.85" hidden="false" customHeight="false" outlineLevel="0" collapsed="false">
      <c r="A4" s="3" t="s">
        <v>163</v>
      </c>
      <c r="B4" s="3" t="s">
        <v>164</v>
      </c>
      <c r="C4" s="3" t="s">
        <v>165</v>
      </c>
      <c r="D4" s="3" t="s">
        <v>149</v>
      </c>
      <c r="E4" s="3" t="s">
        <v>150</v>
      </c>
      <c r="F4" s="3" t="s">
        <v>151</v>
      </c>
      <c r="G4" s="3" t="s">
        <v>152</v>
      </c>
      <c r="H4" s="3" t="s">
        <v>7</v>
      </c>
      <c r="I4" s="3" t="s">
        <v>8</v>
      </c>
      <c r="J4" s="3" t="s">
        <v>166</v>
      </c>
      <c r="K4" s="3" t="s">
        <v>359</v>
      </c>
      <c r="L4" s="3" t="s">
        <v>330</v>
      </c>
    </row>
    <row r="5" customFormat="false" ht="15" hidden="false" customHeight="false" outlineLevel="0" collapsed="false">
      <c r="A5" s="7" t="s">
        <v>360</v>
      </c>
      <c r="B5" s="7" t="s">
        <v>361</v>
      </c>
      <c r="C5" s="7" t="s">
        <v>42</v>
      </c>
      <c r="D5" s="15" t="n">
        <f aca="false">IF($K5="per hotel",$L5*Assumptions!B30,IF($K5=1,$L5,0))</f>
        <v>1</v>
      </c>
      <c r="E5" s="15" t="n">
        <f aca="false">IF($K5="per hotel",$L5*Assumptions!C30,IF($K5=2,$L5,0))</f>
        <v>1</v>
      </c>
      <c r="F5" s="15" t="n">
        <f aca="false">IF($K5="per hotel",$L5*Assumptions!D30,IF($K5=3,$L5,0))</f>
        <v>1</v>
      </c>
      <c r="G5" s="15" t="n">
        <f aca="false">IF($K5="per hotel",$L5*Assumptions!E30,IF($K5=4,$L5,0))</f>
        <v>1</v>
      </c>
      <c r="H5" s="6" t="n">
        <f aca="false">SUM(D5:G5)</f>
        <v>4</v>
      </c>
      <c r="I5" s="15" t="n">
        <f aca="false">ROUNDUP(H5*(1+Assumptions!$B$18),0)</f>
        <v>5</v>
      </c>
      <c r="J5" s="18" t="s">
        <v>362</v>
      </c>
      <c r="K5" s="12" t="s">
        <v>363</v>
      </c>
      <c r="L5" s="13" t="n">
        <v>1</v>
      </c>
    </row>
    <row r="6" customFormat="false" ht="15" hidden="false" customHeight="false" outlineLevel="0" collapsed="false">
      <c r="A6" s="7" t="s">
        <v>364</v>
      </c>
      <c r="B6" s="7" t="s">
        <v>365</v>
      </c>
      <c r="C6" s="7" t="s">
        <v>22</v>
      </c>
      <c r="D6" s="15" t="n">
        <f aca="false">IF($K6="per hotel",$L6*Assumptions!B30,IF($K6=1,$L6,0))</f>
        <v>2</v>
      </c>
      <c r="E6" s="15" t="n">
        <f aca="false">IF($K6="per hotel",$L6*Assumptions!C30,IF($K6=2,$L6,0))</f>
        <v>2</v>
      </c>
      <c r="F6" s="15" t="n">
        <f aca="false">IF($K6="per hotel",$L6*Assumptions!D30,IF($K6=3,$L6,0))</f>
        <v>2</v>
      </c>
      <c r="G6" s="15" t="n">
        <f aca="false">IF($K6="per hotel",$L6*Assumptions!E30,IF($K6=4,$L6,0))</f>
        <v>2</v>
      </c>
      <c r="H6" s="6" t="n">
        <f aca="false">SUM(D6:G6)</f>
        <v>8</v>
      </c>
      <c r="I6" s="15" t="n">
        <f aca="false">ROUNDUP(H6*(1+Assumptions!$B$18),0)</f>
        <v>9</v>
      </c>
      <c r="J6" s="18"/>
      <c r="K6" s="12" t="s">
        <v>363</v>
      </c>
      <c r="L6" s="13" t="n">
        <v>2</v>
      </c>
    </row>
    <row r="7" customFormat="false" ht="15" hidden="false" customHeight="false" outlineLevel="0" collapsed="false">
      <c r="A7" s="7" t="s">
        <v>366</v>
      </c>
      <c r="B7" s="7" t="s">
        <v>367</v>
      </c>
      <c r="C7" s="7" t="s">
        <v>34</v>
      </c>
      <c r="D7" s="15" t="n">
        <f aca="false">IF($K7="per hotel",$L7*Assumptions!B30,IF($K7=1,$L7,0))</f>
        <v>4</v>
      </c>
      <c r="E7" s="15" t="n">
        <f aca="false">IF($K7="per hotel",$L7*Assumptions!C30,IF($K7=2,$L7,0))</f>
        <v>4</v>
      </c>
      <c r="F7" s="15" t="n">
        <f aca="false">IF($K7="per hotel",$L7*Assumptions!D30,IF($K7=3,$L7,0))</f>
        <v>4</v>
      </c>
      <c r="G7" s="15" t="n">
        <f aca="false">IF($K7="per hotel",$L7*Assumptions!E30,IF($K7=4,$L7,0))</f>
        <v>4</v>
      </c>
      <c r="H7" s="6" t="n">
        <f aca="false">SUM(D7:G7)</f>
        <v>16</v>
      </c>
      <c r="I7" s="15" t="n">
        <f aca="false">ROUNDUP(H7*(1+Assumptions!$B$18),0)</f>
        <v>18</v>
      </c>
      <c r="J7" s="18"/>
      <c r="K7" s="12" t="s">
        <v>363</v>
      </c>
      <c r="L7" s="13" t="n">
        <v>4</v>
      </c>
    </row>
    <row r="8" customFormat="false" ht="15" hidden="false" customHeight="false" outlineLevel="0" collapsed="false">
      <c r="A8" s="7" t="s">
        <v>368</v>
      </c>
      <c r="B8" s="7" t="s">
        <v>369</v>
      </c>
      <c r="C8" s="7" t="s">
        <v>26</v>
      </c>
      <c r="D8" s="15" t="n">
        <f aca="false">IF($K8="per hotel",$L8*Assumptions!B30,IF($K8=1,$L8,0))</f>
        <v>2</v>
      </c>
      <c r="E8" s="15" t="n">
        <f aca="false">IF($K8="per hotel",$L8*Assumptions!C30,IF($K8=2,$L8,0))</f>
        <v>2</v>
      </c>
      <c r="F8" s="15" t="n">
        <f aca="false">IF($K8="per hotel",$L8*Assumptions!D30,IF($K8=3,$L8,0))</f>
        <v>2</v>
      </c>
      <c r="G8" s="15" t="n">
        <f aca="false">IF($K8="per hotel",$L8*Assumptions!E30,IF($K8=4,$L8,0))</f>
        <v>2</v>
      </c>
      <c r="H8" s="6" t="n">
        <f aca="false">SUM(D8:G8)</f>
        <v>8</v>
      </c>
      <c r="I8" s="15" t="n">
        <f aca="false">ROUNDUP(H8*(1+Assumptions!$B$18),0)</f>
        <v>9</v>
      </c>
      <c r="J8" s="18"/>
      <c r="K8" s="12" t="s">
        <v>363</v>
      </c>
      <c r="L8" s="13" t="n">
        <v>2</v>
      </c>
    </row>
    <row r="9" customFormat="false" ht="15" hidden="false" customHeight="false" outlineLevel="0" collapsed="false">
      <c r="A9" s="7" t="s">
        <v>370</v>
      </c>
      <c r="B9" s="7" t="s">
        <v>371</v>
      </c>
      <c r="C9" s="7" t="s">
        <v>34</v>
      </c>
      <c r="D9" s="15" t="n">
        <f aca="false">IF($K9="per hotel",$L9*Assumptions!B30,IF($K9=1,$L9,0))</f>
        <v>16</v>
      </c>
      <c r="E9" s="15" t="n">
        <f aca="false">IF($K9="per hotel",$L9*Assumptions!C30,IF($K9=2,$L9,0))</f>
        <v>0</v>
      </c>
      <c r="F9" s="15" t="n">
        <f aca="false">IF($K9="per hotel",$L9*Assumptions!D30,IF($K9=3,$L9,0))</f>
        <v>0</v>
      </c>
      <c r="G9" s="15" t="n">
        <f aca="false">IF($K9="per hotel",$L9*Assumptions!E30,IF($K9=4,$L9,0))</f>
        <v>0</v>
      </c>
      <c r="H9" s="6" t="n">
        <f aca="false">SUM(D9:G9)</f>
        <v>16</v>
      </c>
      <c r="I9" s="15" t="n">
        <f aca="false">ROUNDUP(H9*(1+Assumptions!$B$18),0)</f>
        <v>18</v>
      </c>
      <c r="J9" s="18" t="s">
        <v>372</v>
      </c>
      <c r="K9" s="12" t="n">
        <v>1</v>
      </c>
      <c r="L9" s="13" t="n">
        <v>16</v>
      </c>
    </row>
    <row r="10" customFormat="false" ht="15" hidden="false" customHeight="false" outlineLevel="0" collapsed="false">
      <c r="A10" s="7" t="s">
        <v>373</v>
      </c>
      <c r="B10" s="7" t="s">
        <v>374</v>
      </c>
      <c r="C10" s="7" t="s">
        <v>35</v>
      </c>
      <c r="D10" s="15" t="n">
        <f aca="false">IF($K10="per hotel",$L10*Assumptions!B30,IF($K10=1,$L10,0))</f>
        <v>3</v>
      </c>
      <c r="E10" s="15" t="n">
        <f aca="false">IF($K10="per hotel",$L10*Assumptions!C30,IF($K10=2,$L10,0))</f>
        <v>0</v>
      </c>
      <c r="F10" s="15" t="n">
        <f aca="false">IF($K10="per hotel",$L10*Assumptions!D30,IF($K10=3,$L10,0))</f>
        <v>0</v>
      </c>
      <c r="G10" s="15" t="n">
        <f aca="false">IF($K10="per hotel",$L10*Assumptions!E30,IF($K10=4,$L10,0))</f>
        <v>0</v>
      </c>
      <c r="H10" s="6" t="n">
        <f aca="false">SUM(D10:G10)</f>
        <v>3</v>
      </c>
      <c r="I10" s="15" t="n">
        <f aca="false">ROUNDUP(H10*(1+Assumptions!$B$18),0)</f>
        <v>4</v>
      </c>
      <c r="J10" s="18"/>
      <c r="K10" s="12" t="n">
        <v>1</v>
      </c>
      <c r="L10" s="13" t="n">
        <v>3</v>
      </c>
    </row>
    <row r="11" customFormat="false" ht="15" hidden="false" customHeight="false" outlineLevel="0" collapsed="false">
      <c r="A11" s="7" t="s">
        <v>375</v>
      </c>
      <c r="B11" s="7" t="s">
        <v>376</v>
      </c>
      <c r="C11" s="7" t="s">
        <v>32</v>
      </c>
      <c r="D11" s="15" t="n">
        <f aca="false">IF($K11="per hotel",$L11*Assumptions!B30,IF($K11=1,$L11,0))</f>
        <v>2</v>
      </c>
      <c r="E11" s="15" t="n">
        <f aca="false">IF($K11="per hotel",$L11*Assumptions!C30,IF($K11=2,$L11,0))</f>
        <v>0</v>
      </c>
      <c r="F11" s="15" t="n">
        <f aca="false">IF($K11="per hotel",$L11*Assumptions!D30,IF($K11=3,$L11,0))</f>
        <v>0</v>
      </c>
      <c r="G11" s="15" t="n">
        <f aca="false">IF($K11="per hotel",$L11*Assumptions!E30,IF($K11=4,$L11,0))</f>
        <v>0</v>
      </c>
      <c r="H11" s="6" t="n">
        <f aca="false">SUM(D11:G11)</f>
        <v>2</v>
      </c>
      <c r="I11" s="15" t="n">
        <f aca="false">ROUNDUP(H11*(1+Assumptions!$B$18),0)</f>
        <v>3</v>
      </c>
      <c r="J11" s="18" t="s">
        <v>377</v>
      </c>
      <c r="K11" s="12" t="n">
        <v>1</v>
      </c>
      <c r="L11" s="13" t="n">
        <v>2</v>
      </c>
    </row>
    <row r="12" customFormat="false" ht="15" hidden="false" customHeight="false" outlineLevel="0" collapsed="false">
      <c r="A12" s="7" t="s">
        <v>378</v>
      </c>
      <c r="B12" s="7" t="s">
        <v>379</v>
      </c>
      <c r="C12" s="7" t="s">
        <v>29</v>
      </c>
      <c r="D12" s="15" t="n">
        <f aca="false">IF($K12="per hotel",$L12*Assumptions!B30,IF($K12=1,$L12,0))</f>
        <v>12</v>
      </c>
      <c r="E12" s="15" t="n">
        <f aca="false">IF($K12="per hotel",$L12*Assumptions!C30,IF($K12=2,$L12,0))</f>
        <v>0</v>
      </c>
      <c r="F12" s="15" t="n">
        <f aca="false">IF($K12="per hotel",$L12*Assumptions!D30,IF($K12=3,$L12,0))</f>
        <v>0</v>
      </c>
      <c r="G12" s="15" t="n">
        <f aca="false">IF($K12="per hotel",$L12*Assumptions!E30,IF($K12=4,$L12,0))</f>
        <v>0</v>
      </c>
      <c r="H12" s="6" t="n">
        <f aca="false">SUM(D12:G12)</f>
        <v>12</v>
      </c>
      <c r="I12" s="15" t="n">
        <f aca="false">ROUNDUP(H12*(1+Assumptions!$B$18),0)</f>
        <v>14</v>
      </c>
      <c r="J12" s="18"/>
      <c r="K12" s="12" t="n">
        <v>1</v>
      </c>
      <c r="L12" s="13" t="n">
        <v>12</v>
      </c>
    </row>
    <row r="13" customFormat="false" ht="15" hidden="false" customHeight="false" outlineLevel="0" collapsed="false">
      <c r="A13" s="7" t="s">
        <v>380</v>
      </c>
      <c r="B13" s="7" t="s">
        <v>381</v>
      </c>
      <c r="C13" s="7" t="s">
        <v>36</v>
      </c>
      <c r="D13" s="15" t="n">
        <f aca="false">IF($K13="per hotel",$L13*Assumptions!B30,IF($K13=1,$L13,0))</f>
        <v>8</v>
      </c>
      <c r="E13" s="15" t="n">
        <f aca="false">IF($K13="per hotel",$L13*Assumptions!C30,IF($K13=2,$L13,0))</f>
        <v>0</v>
      </c>
      <c r="F13" s="15" t="n">
        <f aca="false">IF($K13="per hotel",$L13*Assumptions!D30,IF($K13=3,$L13,0))</f>
        <v>0</v>
      </c>
      <c r="G13" s="15" t="n">
        <f aca="false">IF($K13="per hotel",$L13*Assumptions!E30,IF($K13=4,$L13,0))</f>
        <v>0</v>
      </c>
      <c r="H13" s="6" t="n">
        <f aca="false">SUM(D13:G13)</f>
        <v>8</v>
      </c>
      <c r="I13" s="15" t="n">
        <f aca="false">ROUNDUP(H13*(1+Assumptions!$B$18),0)</f>
        <v>9</v>
      </c>
      <c r="J13" s="18"/>
      <c r="K13" s="12" t="n">
        <v>1</v>
      </c>
      <c r="L13" s="13" t="n">
        <v>8</v>
      </c>
    </row>
    <row r="14" customFormat="false" ht="15" hidden="false" customHeight="false" outlineLevel="0" collapsed="false">
      <c r="A14" s="7" t="s">
        <v>382</v>
      </c>
      <c r="B14" s="7" t="s">
        <v>383</v>
      </c>
      <c r="C14" s="7" t="s">
        <v>26</v>
      </c>
      <c r="D14" s="15" t="n">
        <f aca="false">IF($K14="per hotel",$L14*Assumptions!B30,IF($K14=1,$L14,0))</f>
        <v>12</v>
      </c>
      <c r="E14" s="15" t="n">
        <f aca="false">IF($K14="per hotel",$L14*Assumptions!C30,IF($K14=2,$L14,0))</f>
        <v>0</v>
      </c>
      <c r="F14" s="15" t="n">
        <f aca="false">IF($K14="per hotel",$L14*Assumptions!D30,IF($K14=3,$L14,0))</f>
        <v>0</v>
      </c>
      <c r="G14" s="15" t="n">
        <f aca="false">IF($K14="per hotel",$L14*Assumptions!E30,IF($K14=4,$L14,0))</f>
        <v>0</v>
      </c>
      <c r="H14" s="6" t="n">
        <f aca="false">SUM(D14:G14)</f>
        <v>12</v>
      </c>
      <c r="I14" s="15" t="n">
        <f aca="false">ROUNDUP(H14*(1+Assumptions!$B$18),0)</f>
        <v>14</v>
      </c>
      <c r="J14" s="18"/>
      <c r="K14" s="12" t="n">
        <v>1</v>
      </c>
      <c r="L14" s="13" t="n">
        <v>12</v>
      </c>
    </row>
    <row r="15" customFormat="false" ht="15" hidden="false" customHeight="false" outlineLevel="0" collapsed="false">
      <c r="A15" s="7" t="s">
        <v>384</v>
      </c>
      <c r="B15" s="7" t="s">
        <v>385</v>
      </c>
      <c r="C15" s="7" t="s">
        <v>32</v>
      </c>
      <c r="D15" s="15" t="n">
        <f aca="false">IF($K15="per hotel",$L15*Assumptions!B30,IF($K15=1,$L15,0))</f>
        <v>1</v>
      </c>
      <c r="E15" s="15" t="n">
        <f aca="false">IF($K15="per hotel",$L15*Assumptions!C30,IF($K15=2,$L15,0))</f>
        <v>0</v>
      </c>
      <c r="F15" s="15" t="n">
        <f aca="false">IF($K15="per hotel",$L15*Assumptions!D30,IF($K15=3,$L15,0))</f>
        <v>0</v>
      </c>
      <c r="G15" s="15" t="n">
        <f aca="false">IF($K15="per hotel",$L15*Assumptions!E30,IF($K15=4,$L15,0))</f>
        <v>0</v>
      </c>
      <c r="H15" s="6" t="n">
        <f aca="false">SUM(D15:G15)</f>
        <v>1</v>
      </c>
      <c r="I15" s="15" t="n">
        <f aca="false">ROUNDUP(H15*(1+Assumptions!$B$18),0)</f>
        <v>2</v>
      </c>
      <c r="J15" s="18" t="s">
        <v>386</v>
      </c>
      <c r="K15" s="12" t="n">
        <v>1</v>
      </c>
      <c r="L15" s="13" t="n">
        <v>1</v>
      </c>
    </row>
    <row r="16" customFormat="false" ht="15" hidden="false" customHeight="false" outlineLevel="0" collapsed="false">
      <c r="A16" s="7" t="s">
        <v>387</v>
      </c>
      <c r="B16" s="7" t="s">
        <v>388</v>
      </c>
      <c r="C16" s="7" t="s">
        <v>29</v>
      </c>
      <c r="D16" s="15" t="n">
        <f aca="false">IF($K16="per hotel",$L16*Assumptions!B30,IF($K16=1,$L16,0))</f>
        <v>16</v>
      </c>
      <c r="E16" s="15" t="n">
        <f aca="false">IF($K16="per hotel",$L16*Assumptions!C30,IF($K16=2,$L16,0))</f>
        <v>0</v>
      </c>
      <c r="F16" s="15" t="n">
        <f aca="false">IF($K16="per hotel",$L16*Assumptions!D30,IF($K16=3,$L16,0))</f>
        <v>0</v>
      </c>
      <c r="G16" s="15" t="n">
        <f aca="false">IF($K16="per hotel",$L16*Assumptions!E30,IF($K16=4,$L16,0))</f>
        <v>0</v>
      </c>
      <c r="H16" s="6" t="n">
        <f aca="false">SUM(D16:G16)</f>
        <v>16</v>
      </c>
      <c r="I16" s="15" t="n">
        <f aca="false">ROUNDUP(H16*(1+Assumptions!$B$18),0)</f>
        <v>18</v>
      </c>
      <c r="J16" s="18" t="s">
        <v>389</v>
      </c>
      <c r="K16" s="12" t="n">
        <v>1</v>
      </c>
      <c r="L16" s="13" t="n">
        <v>16</v>
      </c>
    </row>
    <row r="17" customFormat="false" ht="15" hidden="false" customHeight="false" outlineLevel="0" collapsed="false">
      <c r="A17" s="7" t="s">
        <v>390</v>
      </c>
      <c r="B17" s="7" t="s">
        <v>391</v>
      </c>
      <c r="C17" s="7" t="s">
        <v>34</v>
      </c>
      <c r="D17" s="15" t="n">
        <f aca="false">IF($K17="per hotel",$L17*Assumptions!B30,IF($K17=1,$L17,0))</f>
        <v>8</v>
      </c>
      <c r="E17" s="15" t="n">
        <f aca="false">IF($K17="per hotel",$L17*Assumptions!C30,IF($K17=2,$L17,0))</f>
        <v>0</v>
      </c>
      <c r="F17" s="15" t="n">
        <f aca="false">IF($K17="per hotel",$L17*Assumptions!D30,IF($K17=3,$L17,0))</f>
        <v>0</v>
      </c>
      <c r="G17" s="15" t="n">
        <f aca="false">IF($K17="per hotel",$L17*Assumptions!E30,IF($K17=4,$L17,0))</f>
        <v>0</v>
      </c>
      <c r="H17" s="6" t="n">
        <f aca="false">SUM(D17:G17)</f>
        <v>8</v>
      </c>
      <c r="I17" s="15" t="n">
        <f aca="false">ROUNDUP(H17*(1+Assumptions!$B$18),0)</f>
        <v>9</v>
      </c>
      <c r="J17" s="18"/>
      <c r="K17" s="12" t="n">
        <v>1</v>
      </c>
      <c r="L17" s="13" t="n">
        <v>8</v>
      </c>
    </row>
    <row r="18" customFormat="false" ht="15" hidden="false" customHeight="false" outlineLevel="0" collapsed="false">
      <c r="A18" s="7" t="s">
        <v>392</v>
      </c>
      <c r="B18" s="7" t="s">
        <v>393</v>
      </c>
      <c r="C18" s="7" t="s">
        <v>26</v>
      </c>
      <c r="D18" s="15" t="n">
        <f aca="false">IF($K18="per hotel",$L18*Assumptions!B30,IF($K18=1,$L18,0))</f>
        <v>6</v>
      </c>
      <c r="E18" s="15" t="n">
        <f aca="false">IF($K18="per hotel",$L18*Assumptions!C30,IF($K18=2,$L18,0))</f>
        <v>0</v>
      </c>
      <c r="F18" s="15" t="n">
        <f aca="false">IF($K18="per hotel",$L18*Assumptions!D30,IF($K18=3,$L18,0))</f>
        <v>0</v>
      </c>
      <c r="G18" s="15" t="n">
        <f aca="false">IF($K18="per hotel",$L18*Assumptions!E30,IF($K18=4,$L18,0))</f>
        <v>0</v>
      </c>
      <c r="H18" s="6" t="n">
        <f aca="false">SUM(D18:G18)</f>
        <v>6</v>
      </c>
      <c r="I18" s="15" t="n">
        <f aca="false">ROUNDUP(H18*(1+Assumptions!$B$18),0)</f>
        <v>7</v>
      </c>
      <c r="J18" s="18"/>
      <c r="K18" s="12" t="n">
        <v>1</v>
      </c>
      <c r="L18" s="13" t="n">
        <v>6</v>
      </c>
    </row>
    <row r="19" customFormat="false" ht="15" hidden="false" customHeight="false" outlineLevel="0" collapsed="false">
      <c r="A19" s="7" t="s">
        <v>394</v>
      </c>
      <c r="B19" s="7" t="s">
        <v>395</v>
      </c>
      <c r="C19" s="7" t="s">
        <v>29</v>
      </c>
      <c r="D19" s="15" t="n">
        <f aca="false">IF($K19="per hotel",$L19*Assumptions!B30,IF($K19=1,$L19,0))</f>
        <v>0</v>
      </c>
      <c r="E19" s="15" t="n">
        <f aca="false">IF($K19="per hotel",$L19*Assumptions!C30,IF($K19=2,$L19,0))</f>
        <v>0</v>
      </c>
      <c r="F19" s="15" t="n">
        <f aca="false">IF($K19="per hotel",$L19*Assumptions!D30,IF($K19=3,$L19,0))</f>
        <v>80</v>
      </c>
      <c r="G19" s="15" t="n">
        <f aca="false">IF($K19="per hotel",$L19*Assumptions!E30,IF($K19=4,$L19,0))</f>
        <v>0</v>
      </c>
      <c r="H19" s="6" t="n">
        <f aca="false">SUM(D19:G19)</f>
        <v>80</v>
      </c>
      <c r="I19" s="15" t="n">
        <f aca="false">ROUNDUP(H19*(1+Assumptions!$B$18),0)</f>
        <v>88</v>
      </c>
      <c r="J19" s="18" t="s">
        <v>396</v>
      </c>
      <c r="K19" s="12" t="n">
        <v>3</v>
      </c>
      <c r="L19" s="13" t="n">
        <v>80</v>
      </c>
    </row>
    <row r="20" customFormat="false" ht="15" hidden="false" customHeight="false" outlineLevel="0" collapsed="false">
      <c r="A20" s="7" t="s">
        <v>397</v>
      </c>
      <c r="B20" s="7" t="s">
        <v>398</v>
      </c>
      <c r="C20" s="7" t="s">
        <v>32</v>
      </c>
      <c r="D20" s="15" t="n">
        <f aca="false">IF($K20="per hotel",$L20*Assumptions!B30,IF($K20=1,$L20,0))</f>
        <v>0</v>
      </c>
      <c r="E20" s="15" t="n">
        <f aca="false">IF($K20="per hotel",$L20*Assumptions!C30,IF($K20=2,$L20,0))</f>
        <v>0</v>
      </c>
      <c r="F20" s="15" t="n">
        <f aca="false">IF($K20="per hotel",$L20*Assumptions!D30,IF($K20=3,$L20,0))</f>
        <v>12</v>
      </c>
      <c r="G20" s="15" t="n">
        <f aca="false">IF($K20="per hotel",$L20*Assumptions!E30,IF($K20=4,$L20,0))</f>
        <v>0</v>
      </c>
      <c r="H20" s="6" t="n">
        <f aca="false">SUM(D20:G20)</f>
        <v>12</v>
      </c>
      <c r="I20" s="15" t="n">
        <f aca="false">ROUNDUP(H20*(1+Assumptions!$B$18),0)</f>
        <v>14</v>
      </c>
      <c r="J20" s="18"/>
      <c r="K20" s="12" t="n">
        <v>3</v>
      </c>
      <c r="L20" s="13" t="n">
        <v>12</v>
      </c>
    </row>
    <row r="21" customFormat="false" ht="15" hidden="false" customHeight="false" outlineLevel="0" collapsed="false">
      <c r="A21" s="7" t="s">
        <v>399</v>
      </c>
      <c r="B21" s="7" t="s">
        <v>400</v>
      </c>
      <c r="C21" s="7" t="s">
        <v>26</v>
      </c>
      <c r="D21" s="15" t="n">
        <f aca="false">IF($K21="per hotel",$L21*Assumptions!B30,IF($K21=1,$L21,0))</f>
        <v>20</v>
      </c>
      <c r="E21" s="15" t="n">
        <f aca="false">IF($K21="per hotel",$L21*Assumptions!C30,IF($K21=2,$L21,0))</f>
        <v>0</v>
      </c>
      <c r="F21" s="15" t="n">
        <f aca="false">IF($K21="per hotel",$L21*Assumptions!D30,IF($K21=3,$L21,0))</f>
        <v>0</v>
      </c>
      <c r="G21" s="15" t="n">
        <f aca="false">IF($K21="per hotel",$L21*Assumptions!E30,IF($K21=4,$L21,0))</f>
        <v>0</v>
      </c>
      <c r="H21" s="6" t="n">
        <f aca="false">SUM(D21:G21)</f>
        <v>20</v>
      </c>
      <c r="I21" s="15" t="n">
        <f aca="false">ROUNDUP(H21*(1+Assumptions!$B$18),0)</f>
        <v>22</v>
      </c>
      <c r="J21" s="18" t="s">
        <v>401</v>
      </c>
      <c r="K21" s="12" t="n">
        <v>1</v>
      </c>
      <c r="L21" s="13" t="n">
        <v>20</v>
      </c>
    </row>
    <row r="22" customFormat="false" ht="15" hidden="false" customHeight="false" outlineLevel="0" collapsed="false">
      <c r="A22" s="7" t="s">
        <v>402</v>
      </c>
      <c r="B22" s="7" t="s">
        <v>403</v>
      </c>
      <c r="C22" s="7" t="s">
        <v>28</v>
      </c>
      <c r="D22" s="15" t="n">
        <f aca="false">IF($K22="per hotel",$L22*Assumptions!B30,IF($K22=1,$L22,0))</f>
        <v>10</v>
      </c>
      <c r="E22" s="15" t="n">
        <f aca="false">IF($K22="per hotel",$L22*Assumptions!C30,IF($K22=2,$L22,0))</f>
        <v>0</v>
      </c>
      <c r="F22" s="15" t="n">
        <f aca="false">IF($K22="per hotel",$L22*Assumptions!D30,IF($K22=3,$L22,0))</f>
        <v>0</v>
      </c>
      <c r="G22" s="15" t="n">
        <f aca="false">IF($K22="per hotel",$L22*Assumptions!E30,IF($K22=4,$L22,0))</f>
        <v>0</v>
      </c>
      <c r="H22" s="6" t="n">
        <f aca="false">SUM(D22:G22)</f>
        <v>10</v>
      </c>
      <c r="I22" s="15" t="n">
        <f aca="false">ROUNDUP(H22*(1+Assumptions!$B$18),0)</f>
        <v>11</v>
      </c>
      <c r="J22" s="18"/>
      <c r="K22" s="12" t="n">
        <v>1</v>
      </c>
      <c r="L22" s="13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2026-10-18T09:28:00Z</dcterms:created>
  <dc:creator>openpyxl</dc:creator>
  <dc:description/>
  <dc:language>en-US</dc:language>
  <cp:lastModifiedBy/>
  <dcterms:modified xsi:type="dcterms:W3CDTF">2026-10-18T09:28:01Z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